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04.03.19 на 73 млн" sheetId="20" r:id="rId1"/>
    <sheet name="04.03.19 расчет на 73 млн" sheetId="19" r:id="rId2"/>
    <sheet name="Лист3" sheetId="3" r:id="rId3"/>
  </sheets>
  <definedNames>
    <definedName name="_xlnm.Print_Area" localSheetId="0">'04.03.19 на 73 млн'!$A$1:$P$12</definedName>
  </definedNames>
  <calcPr calcId="124519"/>
</workbook>
</file>

<file path=xl/calcChain.xml><?xml version="1.0" encoding="utf-8"?>
<calcChain xmlns="http://schemas.openxmlformats.org/spreadsheetml/2006/main">
  <c r="H104" i="19"/>
  <c r="H105" s="1"/>
  <c r="I103"/>
  <c r="H102"/>
  <c r="I101"/>
  <c r="I100"/>
  <c r="I97"/>
  <c r="I104" l="1"/>
  <c r="I105" s="1"/>
  <c r="G111"/>
  <c r="G110"/>
  <c r="F107"/>
  <c r="G105"/>
  <c r="G102"/>
  <c r="I102" s="1"/>
  <c r="F108" l="1"/>
  <c r="G112"/>
  <c r="G113" s="1"/>
  <c r="F101"/>
  <c r="F99"/>
  <c r="F97"/>
  <c r="F95"/>
  <c r="E108"/>
  <c r="C102" s="1"/>
  <c r="F102"/>
  <c r="F100"/>
  <c r="F98"/>
  <c r="F96"/>
  <c r="F94"/>
  <c r="G104"/>
  <c r="N81"/>
  <c r="N80"/>
  <c r="M77"/>
  <c r="N75"/>
  <c r="M78" s="1"/>
  <c r="C88"/>
  <c r="C87"/>
  <c r="E81"/>
  <c r="E82" s="1"/>
  <c r="D81"/>
  <c r="D82" s="1"/>
  <c r="E78"/>
  <c r="F76"/>
  <c r="E79" s="1"/>
  <c r="D79" s="1"/>
  <c r="E75"/>
  <c r="D75"/>
  <c r="F74"/>
  <c r="G74" s="1"/>
  <c r="C74"/>
  <c r="G73"/>
  <c r="F73"/>
  <c r="C73"/>
  <c r="E72"/>
  <c r="E71"/>
  <c r="F70"/>
  <c r="C70"/>
  <c r="F69"/>
  <c r="B69" s="1"/>
  <c r="C69"/>
  <c r="C68"/>
  <c r="F66"/>
  <c r="G66" s="1"/>
  <c r="C66"/>
  <c r="B66"/>
  <c r="F65"/>
  <c r="G65" s="1"/>
  <c r="C65"/>
  <c r="B65"/>
  <c r="E61"/>
  <c r="E62" s="1"/>
  <c r="E58"/>
  <c r="D54" s="1"/>
  <c r="F54" s="1"/>
  <c r="F56"/>
  <c r="E59" s="1"/>
  <c r="D59" s="1"/>
  <c r="G55"/>
  <c r="E55"/>
  <c r="D53"/>
  <c r="F53" s="1"/>
  <c r="D51"/>
  <c r="F51" s="1"/>
  <c r="D49"/>
  <c r="F49" s="1"/>
  <c r="D47"/>
  <c r="F47" s="1"/>
  <c r="K36"/>
  <c r="L34"/>
  <c r="K37" s="1"/>
  <c r="K25" s="1"/>
  <c r="B34"/>
  <c r="D34" s="1"/>
  <c r="L33"/>
  <c r="E29"/>
  <c r="K26"/>
  <c r="J26" s="1"/>
  <c r="C25"/>
  <c r="O17"/>
  <c r="O18" s="1"/>
  <c r="E17"/>
  <c r="E16"/>
  <c r="E14"/>
  <c r="D14" s="1"/>
  <c r="E13"/>
  <c r="F11"/>
  <c r="G10"/>
  <c r="E10"/>
  <c r="O9"/>
  <c r="M9"/>
  <c r="M10" s="1"/>
  <c r="M12" s="1"/>
  <c r="D9"/>
  <c r="F9" s="1"/>
  <c r="H9" s="1"/>
  <c r="J8"/>
  <c r="J9" s="1"/>
  <c r="D8"/>
  <c r="F8" s="1"/>
  <c r="H8" s="1"/>
  <c r="H7"/>
  <c r="D7"/>
  <c r="F7" s="1"/>
  <c r="D6"/>
  <c r="K5"/>
  <c r="D5"/>
  <c r="F5" s="1"/>
  <c r="D4"/>
  <c r="F4" s="1"/>
  <c r="H4" s="1"/>
  <c r="D3"/>
  <c r="L78" l="1"/>
  <c r="M70"/>
  <c r="L70" s="1"/>
  <c r="M71"/>
  <c r="L71" s="1"/>
  <c r="M64"/>
  <c r="M65"/>
  <c r="M67"/>
  <c r="M68"/>
  <c r="M66"/>
  <c r="L66" s="1"/>
  <c r="M73"/>
  <c r="L73" s="1"/>
  <c r="M69"/>
  <c r="L69" s="1"/>
  <c r="K69" s="1"/>
  <c r="O68"/>
  <c r="O65"/>
  <c r="O64"/>
  <c r="J5"/>
  <c r="L5" s="1"/>
  <c r="P5" s="1"/>
  <c r="F75"/>
  <c r="F68"/>
  <c r="E100"/>
  <c r="D100" s="1"/>
  <c r="E95"/>
  <c r="D95"/>
  <c r="F111"/>
  <c r="E94"/>
  <c r="D94" s="1"/>
  <c r="F110"/>
  <c r="F106"/>
  <c r="E102"/>
  <c r="D102" s="1"/>
  <c r="E97"/>
  <c r="D97" s="1"/>
  <c r="F104"/>
  <c r="E96"/>
  <c r="D96" s="1"/>
  <c r="E99"/>
  <c r="D99" s="1"/>
  <c r="E98"/>
  <c r="D98"/>
  <c r="C99"/>
  <c r="C96"/>
  <c r="C101"/>
  <c r="C100"/>
  <c r="C98"/>
  <c r="C97"/>
  <c r="C95"/>
  <c r="C94"/>
  <c r="E101"/>
  <c r="D101" s="1"/>
  <c r="N72"/>
  <c r="K73"/>
  <c r="K66"/>
  <c r="J67"/>
  <c r="O67"/>
  <c r="J68"/>
  <c r="J65"/>
  <c r="J64"/>
  <c r="O73"/>
  <c r="C28"/>
  <c r="C30"/>
  <c r="C26"/>
  <c r="B71"/>
  <c r="E77"/>
  <c r="D10"/>
  <c r="D16"/>
  <c r="D17" s="1"/>
  <c r="J25"/>
  <c r="C29"/>
  <c r="K31"/>
  <c r="J31" s="1"/>
  <c r="J37"/>
  <c r="K30"/>
  <c r="J30" s="1"/>
  <c r="K28"/>
  <c r="J28" s="1"/>
  <c r="B72"/>
  <c r="F3"/>
  <c r="F6"/>
  <c r="K27"/>
  <c r="J27" s="1"/>
  <c r="C32"/>
  <c r="C24"/>
  <c r="K29"/>
  <c r="J29" s="1"/>
  <c r="C31"/>
  <c r="K32"/>
  <c r="J32" s="1"/>
  <c r="B68"/>
  <c r="G68"/>
  <c r="D72"/>
  <c r="C72" s="1"/>
  <c r="D71"/>
  <c r="B74"/>
  <c r="B73"/>
  <c r="D48"/>
  <c r="F48" s="1"/>
  <c r="F55" s="1"/>
  <c r="D50"/>
  <c r="F50" s="1"/>
  <c r="D52"/>
  <c r="F52" s="1"/>
  <c r="F67"/>
  <c r="E67" s="1"/>
  <c r="C67" s="1"/>
  <c r="G69"/>
  <c r="G75" l="1"/>
  <c r="D61"/>
  <c r="D62" s="1"/>
  <c r="K67"/>
  <c r="L67"/>
  <c r="M80"/>
  <c r="L64"/>
  <c r="L80" s="1"/>
  <c r="B75"/>
  <c r="J72"/>
  <c r="M72"/>
  <c r="K68"/>
  <c r="L68"/>
  <c r="M81"/>
  <c r="L65"/>
  <c r="L81" s="1"/>
  <c r="J70"/>
  <c r="J74" s="1"/>
  <c r="J66"/>
  <c r="J71"/>
  <c r="J73"/>
  <c r="J69"/>
  <c r="C104"/>
  <c r="E104"/>
  <c r="E111"/>
  <c r="E110"/>
  <c r="E106"/>
  <c r="N74"/>
  <c r="O72"/>
  <c r="O74" s="1"/>
  <c r="K71"/>
  <c r="K70"/>
  <c r="M76"/>
  <c r="K35"/>
  <c r="K39"/>
  <c r="K40" s="1"/>
  <c r="C33"/>
  <c r="E30" s="1"/>
  <c r="K33"/>
  <c r="D55"/>
  <c r="I27"/>
  <c r="M27" s="1"/>
  <c r="I26"/>
  <c r="M26" s="1"/>
  <c r="I32"/>
  <c r="M32" s="1"/>
  <c r="I29"/>
  <c r="M29" s="1"/>
  <c r="I25"/>
  <c r="I28"/>
  <c r="M28" s="1"/>
  <c r="I30"/>
  <c r="M30" s="1"/>
  <c r="I31"/>
  <c r="M31" s="1"/>
  <c r="J35"/>
  <c r="J33"/>
  <c r="J39"/>
  <c r="J40" s="1"/>
  <c r="D77"/>
  <c r="H3"/>
  <c r="F10"/>
  <c r="H10" s="1"/>
  <c r="C71"/>
  <c r="K65" l="1"/>
  <c r="L76"/>
  <c r="K64"/>
  <c r="M74"/>
  <c r="L72"/>
  <c r="L74" s="1"/>
  <c r="K72"/>
  <c r="I33"/>
  <c r="M25"/>
  <c r="M33" s="1"/>
</calcChain>
</file>

<file path=xl/sharedStrings.xml><?xml version="1.0" encoding="utf-8"?>
<sst xmlns="http://schemas.openxmlformats.org/spreadsheetml/2006/main" count="176" uniqueCount="65">
  <si>
    <t xml:space="preserve">                                                                                                                            </t>
  </si>
  <si>
    <t>Ресурсное обеспечение реализации муниципальной программы за счет всех источников финансирования</t>
  </si>
  <si>
    <t>Наименование муниципальной программы, подпрограммы, основного мероприятия, мероприятия</t>
  </si>
  <si>
    <t>Источник финансирования</t>
  </si>
  <si>
    <t>Код бюджетной классификации</t>
  </si>
  <si>
    <t xml:space="preserve">Расходы бюджета муниципального образования, руб.
</t>
  </si>
  <si>
    <t>ГРБС</t>
  </si>
  <si>
    <t>Рз</t>
  </si>
  <si>
    <t>Пр</t>
  </si>
  <si>
    <t>ЦСР</t>
  </si>
  <si>
    <t>ВР</t>
  </si>
  <si>
    <t>2018 г.</t>
  </si>
  <si>
    <t>2019 г.</t>
  </si>
  <si>
    <t>2020 г.</t>
  </si>
  <si>
    <t>2021 г.</t>
  </si>
  <si>
    <t>2022 г.</t>
  </si>
  <si>
    <t>Всего</t>
  </si>
  <si>
    <t xml:space="preserve"> </t>
  </si>
  <si>
    <t>федеральный, областной бюджеты</t>
  </si>
  <si>
    <t>местный бюджет</t>
  </si>
  <si>
    <t>Ответственный исполнитель, соисполнитель</t>
  </si>
  <si>
    <t>ПРИЛОЖЕНИЕ 3</t>
  </si>
  <si>
    <t>безвозмездные поступления</t>
  </si>
  <si>
    <t>2023 г.</t>
  </si>
  <si>
    <t>2024 г.</t>
  </si>
  <si>
    <t>субсидия</t>
  </si>
  <si>
    <t>Расчет по ГРБС</t>
  </si>
  <si>
    <t>федеральный</t>
  </si>
  <si>
    <t>областной</t>
  </si>
  <si>
    <t>Местн. Бюджет</t>
  </si>
  <si>
    <t>Итого</t>
  </si>
  <si>
    <t>архитектура</t>
  </si>
  <si>
    <t>Детартамент строит.</t>
  </si>
  <si>
    <t>Комитет экологии</t>
  </si>
  <si>
    <t>итого</t>
  </si>
  <si>
    <t>дворы</t>
  </si>
  <si>
    <t>обществ</t>
  </si>
  <si>
    <t>Комитет ЖКХ, размеж</t>
  </si>
  <si>
    <t>Комитет ЖКХ, неразмеж</t>
  </si>
  <si>
    <t>архитектура дворы</t>
  </si>
  <si>
    <t>Архитектура обществ</t>
  </si>
  <si>
    <t>комитет</t>
  </si>
  <si>
    <t>коэффициент софин</t>
  </si>
  <si>
    <t xml:space="preserve">местный бюджет </t>
  </si>
  <si>
    <t>предусм</t>
  </si>
  <si>
    <t>софинансир</t>
  </si>
  <si>
    <t>местный</t>
  </si>
  <si>
    <t>стоимость</t>
  </si>
  <si>
    <t>разница</t>
  </si>
  <si>
    <t xml:space="preserve">комитет жкх </t>
  </si>
  <si>
    <t>стоимость работ</t>
  </si>
  <si>
    <t>субсидия по стоимости</t>
  </si>
  <si>
    <t>всего</t>
  </si>
  <si>
    <t>ВЛКСМ</t>
  </si>
  <si>
    <t>обществ в т.ч.</t>
  </si>
  <si>
    <t>неразм</t>
  </si>
  <si>
    <t>разм</t>
  </si>
  <si>
    <t>строит-во</t>
  </si>
  <si>
    <t>субсидия по стоимости + м.б.</t>
  </si>
  <si>
    <t>департамент благоустр</t>
  </si>
  <si>
    <t>департамент строит</t>
  </si>
  <si>
    <t>«Формирование современной городской среды в  муниципальном образовании «Город Курск» на 2018-2024 годы»</t>
  </si>
  <si>
    <t>2018-2024</t>
  </si>
  <si>
    <t xml:space="preserve">к муниципальной программе "Формирование                                                                                                        современной городской среды на территории Возовского сельсовета Поныровского района Курской области                                                                                 на 2018-2024 годы"                                                                                                          </t>
  </si>
  <si>
    <t>Ответственный исполнитель -администрация Возовского сельсовета</t>
  </si>
</sst>
</file>

<file path=xl/styles.xml><?xml version="1.0" encoding="utf-8"?>
<styleSheet xmlns="http://schemas.openxmlformats.org/spreadsheetml/2006/main">
  <numFmts count="3">
    <numFmt numFmtId="164" formatCode="#,##0.00000000000"/>
    <numFmt numFmtId="165" formatCode="#,##0.000000000000000000000"/>
    <numFmt numFmtId="166" formatCode="#,##0.00000000"/>
  </numFmts>
  <fonts count="7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4" fontId="2" fillId="2" borderId="5" xfId="0" applyNumberFormat="1" applyFont="1" applyFill="1" applyBorder="1" applyAlignment="1">
      <alignment horizontal="right" vertical="center" wrapText="1"/>
    </xf>
    <xf numFmtId="0" fontId="0" fillId="0" borderId="5" xfId="0" applyBorder="1"/>
    <xf numFmtId="2" fontId="0" fillId="0" borderId="5" xfId="0" applyNumberFormat="1" applyBorder="1"/>
    <xf numFmtId="4" fontId="0" fillId="0" borderId="5" xfId="0" applyNumberFormat="1" applyBorder="1"/>
    <xf numFmtId="165" fontId="0" fillId="0" borderId="5" xfId="0" applyNumberFormat="1" applyBorder="1"/>
    <xf numFmtId="164" fontId="0" fillId="0" borderId="5" xfId="0" applyNumberFormat="1" applyBorder="1"/>
    <xf numFmtId="166" fontId="0" fillId="0" borderId="5" xfId="0" applyNumberFormat="1" applyBorder="1"/>
    <xf numFmtId="4" fontId="0" fillId="0" borderId="0" xfId="0" applyNumberFormat="1"/>
    <xf numFmtId="4" fontId="0" fillId="3" borderId="0" xfId="0" applyNumberFormat="1" applyFill="1"/>
    <xf numFmtId="0" fontId="0" fillId="0" borderId="6" xfId="0" applyFill="1" applyBorder="1"/>
    <xf numFmtId="2" fontId="0" fillId="0" borderId="0" xfId="0" applyNumberFormat="1"/>
    <xf numFmtId="0" fontId="0" fillId="0" borderId="5" xfId="0" applyBorder="1" applyAlignment="1">
      <alignment wrapText="1"/>
    </xf>
    <xf numFmtId="4" fontId="4" fillId="0" borderId="0" xfId="0" applyNumberFormat="1" applyFont="1"/>
    <xf numFmtId="0" fontId="4" fillId="0" borderId="0" xfId="0" applyFont="1"/>
    <xf numFmtId="0" fontId="5" fillId="0" borderId="0" xfId="0" applyFont="1"/>
    <xf numFmtId="4" fontId="5" fillId="0" borderId="0" xfId="0" applyNumberFormat="1" applyFont="1"/>
    <xf numFmtId="0" fontId="0" fillId="3" borderId="5" xfId="0" applyFill="1" applyBorder="1"/>
    <xf numFmtId="4" fontId="0" fillId="3" borderId="5" xfId="0" applyNumberFormat="1" applyFill="1" applyBorder="1"/>
    <xf numFmtId="166" fontId="0" fillId="0" borderId="0" xfId="0" applyNumberFormat="1"/>
    <xf numFmtId="0" fontId="3" fillId="0" borderId="8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166" fontId="0" fillId="2" borderId="5" xfId="0" applyNumberFormat="1" applyFill="1" applyBorder="1"/>
    <xf numFmtId="4" fontId="0" fillId="2" borderId="5" xfId="0" applyNumberFormat="1" applyFill="1" applyBorder="1"/>
    <xf numFmtId="164" fontId="0" fillId="2" borderId="5" xfId="0" applyNumberFormat="1" applyFill="1" applyBorder="1"/>
    <xf numFmtId="0" fontId="0" fillId="4" borderId="5" xfId="0" applyFill="1" applyBorder="1"/>
    <xf numFmtId="2" fontId="0" fillId="4" borderId="5" xfId="0" applyNumberFormat="1" applyFill="1" applyBorder="1"/>
    <xf numFmtId="166" fontId="0" fillId="4" borderId="5" xfId="0" applyNumberFormat="1" applyFill="1" applyBorder="1"/>
    <xf numFmtId="4" fontId="0" fillId="4" borderId="5" xfId="0" applyNumberFormat="1" applyFill="1" applyBorder="1"/>
    <xf numFmtId="0" fontId="0" fillId="4" borderId="0" xfId="0" applyFill="1"/>
    <xf numFmtId="165" fontId="0" fillId="4" borderId="5" xfId="0" applyNumberFormat="1" applyFill="1" applyBorder="1"/>
    <xf numFmtId="0" fontId="6" fillId="5" borderId="5" xfId="0" applyFont="1" applyFill="1" applyBorder="1"/>
    <xf numFmtId="4" fontId="6" fillId="5" borderId="5" xfId="0" applyNumberFormat="1" applyFont="1" applyFill="1" applyBorder="1"/>
    <xf numFmtId="0" fontId="6" fillId="5" borderId="0" xfId="0" applyFont="1" applyFill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4" fontId="0" fillId="0" borderId="0" xfId="0" applyNumberFormat="1" applyBorder="1"/>
    <xf numFmtId="0" fontId="0" fillId="2" borderId="0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"/>
  <sheetViews>
    <sheetView tabSelected="1" zoomScale="60" zoomScaleNormal="60" zoomScaleSheetLayoutView="70" zoomScalePageLayoutView="50" workbookViewId="0">
      <selection activeCell="B20" sqref="B20"/>
    </sheetView>
  </sheetViews>
  <sheetFormatPr defaultRowHeight="15"/>
  <cols>
    <col min="1" max="1" width="33.140625" customWidth="1"/>
    <col min="2" max="2" width="25.85546875" customWidth="1"/>
    <col min="3" max="3" width="22.140625" customWidth="1"/>
    <col min="4" max="4" width="8.28515625" bestFit="1" customWidth="1"/>
    <col min="5" max="5" width="7" customWidth="1"/>
    <col min="6" max="6" width="6.7109375" customWidth="1"/>
    <col min="7" max="7" width="17.7109375" customWidth="1"/>
    <col min="8" max="8" width="7" customWidth="1"/>
    <col min="9" max="9" width="20.5703125" customWidth="1"/>
    <col min="10" max="10" width="19.7109375" bestFit="1" customWidth="1"/>
    <col min="11" max="11" width="21" bestFit="1" customWidth="1"/>
    <col min="12" max="12" width="19.7109375" bestFit="1" customWidth="1"/>
    <col min="13" max="13" width="19.28515625" customWidth="1"/>
    <col min="14" max="14" width="19.7109375" bestFit="1" customWidth="1"/>
    <col min="15" max="16" width="18.42578125" customWidth="1"/>
  </cols>
  <sheetData>
    <row r="1" spans="1:16" ht="18.75" customHeight="1">
      <c r="A1" s="1"/>
      <c r="B1" s="1"/>
      <c r="C1" s="1"/>
      <c r="D1" s="1"/>
      <c r="E1" s="1"/>
      <c r="F1" s="2" t="s">
        <v>0</v>
      </c>
      <c r="G1" s="2"/>
      <c r="H1" s="2"/>
      <c r="I1" s="2"/>
      <c r="J1" s="2"/>
      <c r="K1" s="2"/>
      <c r="L1" s="2"/>
      <c r="M1" s="59" t="s">
        <v>21</v>
      </c>
      <c r="N1" s="59"/>
      <c r="O1" s="59"/>
      <c r="P1" s="59"/>
    </row>
    <row r="2" spans="1:16" ht="5.25" customHeight="1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59" t="s">
        <v>63</v>
      </c>
      <c r="N2" s="59"/>
      <c r="O2" s="59"/>
      <c r="P2" s="59"/>
    </row>
    <row r="3" spans="1:16" ht="65.25" customHeight="1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59"/>
      <c r="N3" s="59"/>
      <c r="O3" s="59"/>
      <c r="P3" s="59"/>
    </row>
    <row r="4" spans="1:16" ht="9" customHeight="1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2"/>
      <c r="M4" s="2"/>
      <c r="N4" s="2"/>
      <c r="O4" s="40"/>
      <c r="P4" s="40"/>
    </row>
    <row r="5" spans="1:16" ht="18.75">
      <c r="A5" s="60" t="s">
        <v>1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41"/>
      <c r="P5" s="41"/>
    </row>
    <row r="6" spans="1:16" ht="1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3"/>
      <c r="M6" s="3"/>
      <c r="N6" s="3"/>
      <c r="O6" s="3"/>
      <c r="P6" s="3"/>
    </row>
    <row r="7" spans="1:16" ht="27" customHeight="1">
      <c r="A7" s="61" t="s">
        <v>2</v>
      </c>
      <c r="B7" s="61" t="s">
        <v>20</v>
      </c>
      <c r="C7" s="63" t="s">
        <v>3</v>
      </c>
      <c r="D7" s="61" t="s">
        <v>4</v>
      </c>
      <c r="E7" s="62"/>
      <c r="F7" s="62"/>
      <c r="G7" s="62"/>
      <c r="H7" s="65"/>
      <c r="I7" s="66" t="s">
        <v>5</v>
      </c>
      <c r="J7" s="66"/>
      <c r="K7" s="66"/>
      <c r="L7" s="66"/>
      <c r="M7" s="66"/>
      <c r="N7" s="66"/>
      <c r="O7" s="66"/>
      <c r="P7" s="66"/>
    </row>
    <row r="8" spans="1:16" ht="82.5" customHeight="1">
      <c r="A8" s="62"/>
      <c r="B8" s="62"/>
      <c r="C8" s="64"/>
      <c r="D8" s="42" t="s">
        <v>6</v>
      </c>
      <c r="E8" s="42" t="s">
        <v>7</v>
      </c>
      <c r="F8" s="42" t="s">
        <v>8</v>
      </c>
      <c r="G8" s="42" t="s">
        <v>9</v>
      </c>
      <c r="H8" s="24" t="s">
        <v>10</v>
      </c>
      <c r="I8" s="44" t="s">
        <v>62</v>
      </c>
      <c r="J8" s="44" t="s">
        <v>11</v>
      </c>
      <c r="K8" s="44" t="s">
        <v>12</v>
      </c>
      <c r="L8" s="25" t="s">
        <v>13</v>
      </c>
      <c r="M8" s="44" t="s">
        <v>14</v>
      </c>
      <c r="N8" s="44" t="s">
        <v>15</v>
      </c>
      <c r="O8" s="44" t="s">
        <v>23</v>
      </c>
      <c r="P8" s="44" t="s">
        <v>24</v>
      </c>
    </row>
    <row r="9" spans="1:16" ht="18.75">
      <c r="A9" s="56" t="s">
        <v>61</v>
      </c>
      <c r="B9" s="56" t="s">
        <v>64</v>
      </c>
      <c r="C9" s="44" t="s">
        <v>16</v>
      </c>
      <c r="D9" s="44"/>
      <c r="E9" s="44"/>
      <c r="F9" s="44"/>
      <c r="G9" s="44"/>
      <c r="H9" s="44" t="s">
        <v>17</v>
      </c>
      <c r="I9" s="5">
        <v>7814327</v>
      </c>
      <c r="J9" s="5">
        <v>713969</v>
      </c>
      <c r="K9" s="5">
        <v>945358</v>
      </c>
      <c r="L9" s="5">
        <v>832348</v>
      </c>
      <c r="M9" s="5">
        <v>1200000</v>
      </c>
      <c r="N9" s="5">
        <v>1050000</v>
      </c>
      <c r="O9" s="5">
        <v>1200000</v>
      </c>
      <c r="P9" s="5">
        <v>1050000</v>
      </c>
    </row>
    <row r="10" spans="1:16" ht="56.25">
      <c r="A10" s="57"/>
      <c r="B10" s="57"/>
      <c r="C10" s="43" t="s">
        <v>18</v>
      </c>
      <c r="D10" s="44"/>
      <c r="E10" s="44"/>
      <c r="F10" s="44"/>
      <c r="G10" s="44"/>
      <c r="H10" s="44"/>
      <c r="I10" s="5">
        <v>6962749</v>
      </c>
      <c r="J10" s="5">
        <v>624182</v>
      </c>
      <c r="K10" s="5">
        <v>875767</v>
      </c>
      <c r="L10" s="5">
        <v>817093</v>
      </c>
      <c r="M10" s="5">
        <v>1071600</v>
      </c>
      <c r="N10" s="5">
        <v>930000</v>
      </c>
      <c r="O10" s="5">
        <v>1071600</v>
      </c>
      <c r="P10" s="5">
        <v>930000</v>
      </c>
    </row>
    <row r="11" spans="1:16" ht="18.75">
      <c r="A11" s="57"/>
      <c r="B11" s="57"/>
      <c r="C11" s="43" t="s">
        <v>19</v>
      </c>
      <c r="D11" s="44"/>
      <c r="E11" s="44"/>
      <c r="F11" s="44"/>
      <c r="G11" s="44"/>
      <c r="H11" s="44"/>
      <c r="I11" s="5">
        <v>639115</v>
      </c>
      <c r="J11" s="5">
        <v>69074</v>
      </c>
      <c r="K11" s="5">
        <v>69591</v>
      </c>
      <c r="L11" s="5">
        <v>15255</v>
      </c>
      <c r="M11" s="5">
        <v>107400</v>
      </c>
      <c r="N11" s="5">
        <v>82500</v>
      </c>
      <c r="O11" s="5">
        <v>107400</v>
      </c>
      <c r="P11" s="5">
        <v>82500</v>
      </c>
    </row>
    <row r="12" spans="1:16" ht="64.5" customHeight="1">
      <c r="A12" s="58"/>
      <c r="B12" s="58"/>
      <c r="C12" s="43" t="s">
        <v>22</v>
      </c>
      <c r="D12" s="44"/>
      <c r="E12" s="44"/>
      <c r="F12" s="44"/>
      <c r="G12" s="44"/>
      <c r="H12" s="44"/>
      <c r="I12" s="5">
        <v>212463</v>
      </c>
      <c r="J12" s="5">
        <v>20713</v>
      </c>
      <c r="K12" s="5">
        <v>0</v>
      </c>
      <c r="L12" s="5">
        <v>0</v>
      </c>
      <c r="M12" s="5">
        <v>21000</v>
      </c>
      <c r="N12" s="5">
        <v>37500</v>
      </c>
      <c r="O12" s="5">
        <v>21000</v>
      </c>
      <c r="P12" s="5">
        <v>37500</v>
      </c>
    </row>
  </sheetData>
  <mergeCells count="10">
    <mergeCell ref="A9:A12"/>
    <mergeCell ref="B9:B12"/>
    <mergeCell ref="M1:P1"/>
    <mergeCell ref="M2:P3"/>
    <mergeCell ref="A5:N5"/>
    <mergeCell ref="A7:A8"/>
    <mergeCell ref="B7:B8"/>
    <mergeCell ref="C7:C8"/>
    <mergeCell ref="D7:H7"/>
    <mergeCell ref="I7:P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orientation="landscape" r:id="rId1"/>
  <headerFooter differentOddEven="1">
    <oddHeader>&amp;C&amp;"Times New Roman,обычный"&amp;14 32</oddHeader>
    <evenHeader>&amp;C&amp;"Times New Roman,обычный"&amp;14 30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19"/>
  <sheetViews>
    <sheetView topLeftCell="A85" workbookViewId="0">
      <selection activeCell="I88" sqref="I88"/>
    </sheetView>
  </sheetViews>
  <sheetFormatPr defaultRowHeight="15"/>
  <cols>
    <col min="1" max="1" width="23.85546875" customWidth="1"/>
    <col min="2" max="2" width="24" bestFit="1" customWidth="1"/>
    <col min="3" max="3" width="25" bestFit="1" customWidth="1"/>
    <col min="4" max="4" width="17" customWidth="1"/>
    <col min="5" max="5" width="15.140625" bestFit="1" customWidth="1"/>
    <col min="6" max="6" width="19.7109375" bestFit="1" customWidth="1"/>
    <col min="7" max="7" width="16.140625" bestFit="1" customWidth="1"/>
    <col min="8" max="8" width="13.28515625" bestFit="1" customWidth="1"/>
    <col min="9" max="9" width="23.85546875" bestFit="1" customWidth="1"/>
    <col min="10" max="10" width="13.85546875" customWidth="1"/>
    <col min="11" max="11" width="15.140625" bestFit="1" customWidth="1"/>
    <col min="12" max="12" width="13.7109375" bestFit="1" customWidth="1"/>
    <col min="13" max="13" width="16.140625" bestFit="1" customWidth="1"/>
    <col min="14" max="14" width="13.5703125" bestFit="1" customWidth="1"/>
    <col min="15" max="15" width="16.140625" hidden="1" customWidth="1"/>
    <col min="16" max="16" width="9" bestFit="1" customWidth="1"/>
  </cols>
  <sheetData>
    <row r="1" spans="1:16" hidden="1">
      <c r="A1" t="s">
        <v>26</v>
      </c>
    </row>
    <row r="2" spans="1:16" hidden="1">
      <c r="A2" s="6"/>
      <c r="B2" s="6" t="s">
        <v>27</v>
      </c>
      <c r="C2" s="6" t="s">
        <v>28</v>
      </c>
      <c r="D2" s="6" t="s">
        <v>25</v>
      </c>
      <c r="E2" s="6" t="s">
        <v>29</v>
      </c>
      <c r="F2" s="6" t="s">
        <v>30</v>
      </c>
      <c r="G2" s="6" t="s">
        <v>50</v>
      </c>
      <c r="H2" s="14" t="s">
        <v>48</v>
      </c>
    </row>
    <row r="3" spans="1:16" hidden="1">
      <c r="A3" s="6" t="s">
        <v>39</v>
      </c>
      <c r="B3" s="7"/>
      <c r="C3" s="8"/>
      <c r="D3" s="8">
        <f>E3/E13</f>
        <v>305568.04660978366</v>
      </c>
      <c r="E3" s="8">
        <v>24281.4</v>
      </c>
      <c r="F3" s="8">
        <f>D3+E3</f>
        <v>329849.44660978368</v>
      </c>
      <c r="G3" s="8">
        <v>305568.05</v>
      </c>
      <c r="H3" s="12">
        <f>F3-G3</f>
        <v>24281.396609783696</v>
      </c>
    </row>
    <row r="4" spans="1:16" hidden="1">
      <c r="A4" s="6" t="s">
        <v>40</v>
      </c>
      <c r="B4" s="8"/>
      <c r="C4" s="8"/>
      <c r="D4" s="8">
        <f>E4/E13</f>
        <v>205602.59288767213</v>
      </c>
      <c r="E4" s="8">
        <v>16337.83</v>
      </c>
      <c r="F4" s="8">
        <f t="shared" ref="F4:F9" si="0">D4+E4</f>
        <v>221940.42288767212</v>
      </c>
      <c r="G4" s="8">
        <v>250773.85</v>
      </c>
      <c r="H4" s="12">
        <f>F4-G4</f>
        <v>-28833.427112327889</v>
      </c>
      <c r="J4" t="s">
        <v>25</v>
      </c>
      <c r="K4" t="s">
        <v>46</v>
      </c>
      <c r="L4" t="s">
        <v>34</v>
      </c>
      <c r="N4" t="s">
        <v>47</v>
      </c>
      <c r="P4" t="s">
        <v>48</v>
      </c>
    </row>
    <row r="5" spans="1:16" hidden="1">
      <c r="A5" s="6" t="s">
        <v>37</v>
      </c>
      <c r="B5" s="8"/>
      <c r="C5" s="8"/>
      <c r="D5" s="8">
        <f>E5/E13</f>
        <v>52979934.186978392</v>
      </c>
      <c r="E5" s="8">
        <v>4209952.54</v>
      </c>
      <c r="F5" s="8">
        <f t="shared" si="0"/>
        <v>57189886.726978391</v>
      </c>
      <c r="G5" s="8"/>
      <c r="J5" s="12">
        <f>D5+D6</f>
        <v>54143529.23931957</v>
      </c>
      <c r="K5" s="12">
        <f>E5+E6</f>
        <v>4302415.47</v>
      </c>
      <c r="L5" s="12">
        <f>J5+K5</f>
        <v>58445944.709319569</v>
      </c>
      <c r="N5" s="12">
        <v>58532661.079999998</v>
      </c>
      <c r="P5" s="12">
        <f>N5-L5</f>
        <v>86716.370680429041</v>
      </c>
    </row>
    <row r="6" spans="1:16" hidden="1">
      <c r="A6" s="6" t="s">
        <v>38</v>
      </c>
      <c r="B6" s="8"/>
      <c r="C6" s="8"/>
      <c r="D6" s="8">
        <f>E6/E13</f>
        <v>1163595.0523411813</v>
      </c>
      <c r="E6" s="8">
        <v>92462.93</v>
      </c>
      <c r="F6" s="8">
        <f t="shared" si="0"/>
        <v>1256057.9823411813</v>
      </c>
      <c r="G6" s="8"/>
    </row>
    <row r="7" spans="1:16" hidden="1">
      <c r="A7" s="6" t="s">
        <v>49</v>
      </c>
      <c r="B7" s="8"/>
      <c r="C7" s="8"/>
      <c r="D7" s="8">
        <f>E7/E13</f>
        <v>54143529.23931957</v>
      </c>
      <c r="E7" s="8">
        <v>4302415.47</v>
      </c>
      <c r="F7" s="8">
        <f t="shared" si="0"/>
        <v>58445944.709319569</v>
      </c>
      <c r="G7" s="8">
        <v>58532661.079999998</v>
      </c>
      <c r="H7" s="12">
        <f>F7-G7</f>
        <v>-86716.370680429041</v>
      </c>
    </row>
    <row r="8" spans="1:16" hidden="1">
      <c r="A8" s="6" t="s">
        <v>32</v>
      </c>
      <c r="B8" s="8"/>
      <c r="C8" s="8"/>
      <c r="D8" s="8">
        <f>E8/E13</f>
        <v>63363488.750189625</v>
      </c>
      <c r="E8" s="8">
        <v>5035062.51</v>
      </c>
      <c r="F8" s="8">
        <f t="shared" si="0"/>
        <v>68398551.260189623</v>
      </c>
      <c r="G8" s="8">
        <v>57608798.020000003</v>
      </c>
      <c r="H8" s="12">
        <f t="shared" ref="H8:H9" si="1">F8-G8</f>
        <v>10789753.240189619</v>
      </c>
      <c r="J8" s="17">
        <f xml:space="preserve"> 65000000-2004400</f>
        <v>62995600</v>
      </c>
      <c r="K8" s="18"/>
      <c r="L8" s="19" t="s">
        <v>52</v>
      </c>
      <c r="M8" s="20">
        <v>141697801</v>
      </c>
      <c r="N8" t="s">
        <v>55</v>
      </c>
      <c r="O8" t="s">
        <v>56</v>
      </c>
    </row>
    <row r="9" spans="1:16" hidden="1">
      <c r="A9" s="6" t="s">
        <v>33</v>
      </c>
      <c r="B9" s="8"/>
      <c r="C9" s="8"/>
      <c r="D9" s="8">
        <f>E9/E13</f>
        <v>13248729.37099335</v>
      </c>
      <c r="E9" s="8">
        <v>1052785.79</v>
      </c>
      <c r="F9" s="8">
        <f t="shared" si="0"/>
        <v>14301515.160993349</v>
      </c>
      <c r="G9" s="8">
        <v>25000000</v>
      </c>
      <c r="H9" s="12">
        <f t="shared" si="1"/>
        <v>-10698484.839006651</v>
      </c>
      <c r="I9" s="12"/>
      <c r="J9" s="17">
        <f>J8-1257921.6</f>
        <v>61737678.399999999</v>
      </c>
      <c r="L9" s="19" t="s">
        <v>35</v>
      </c>
      <c r="M9" s="20">
        <f>62995600+329849.45</f>
        <v>63325449.450000003</v>
      </c>
      <c r="N9" s="12">
        <v>1257921.6000000001</v>
      </c>
      <c r="O9" s="12">
        <f>62995600-N9</f>
        <v>61737678.399999999</v>
      </c>
    </row>
    <row r="10" spans="1:16" hidden="1">
      <c r="A10" s="6" t="s">
        <v>34</v>
      </c>
      <c r="B10" s="8"/>
      <c r="C10" s="8"/>
      <c r="D10" s="8">
        <f>D3+D4+D7+D8+D9</f>
        <v>131266918</v>
      </c>
      <c r="E10" s="8">
        <f>E3+E4+E7+E8+E9</f>
        <v>10430883</v>
      </c>
      <c r="F10" s="8">
        <f>F3+F4+F7+F8+F9</f>
        <v>141697801</v>
      </c>
      <c r="G10" s="8">
        <f>G3+G4+G7+G8+G9</f>
        <v>141697801</v>
      </c>
      <c r="H10" s="12">
        <f>F10-G10</f>
        <v>0</v>
      </c>
      <c r="J10" s="17">
        <v>1257921.6000000001</v>
      </c>
      <c r="L10" s="19" t="s">
        <v>54</v>
      </c>
      <c r="M10" s="20">
        <f>M8-M9</f>
        <v>78372351.549999997</v>
      </c>
      <c r="N10" s="12"/>
      <c r="O10" s="12"/>
    </row>
    <row r="11" spans="1:16" hidden="1">
      <c r="A11" s="6" t="s">
        <v>30</v>
      </c>
      <c r="B11" s="8"/>
      <c r="C11" s="8"/>
      <c r="D11" s="8">
        <v>131266918</v>
      </c>
      <c r="E11" s="8">
        <v>10430883</v>
      </c>
      <c r="F11" s="8">
        <f>D11+E11</f>
        <v>141697801</v>
      </c>
      <c r="G11" s="8"/>
      <c r="J11">
        <v>329849.45</v>
      </c>
      <c r="L11" s="19" t="s">
        <v>53</v>
      </c>
      <c r="M11" s="20"/>
      <c r="N11" s="12"/>
      <c r="O11" s="12"/>
    </row>
    <row r="12" spans="1:16" hidden="1">
      <c r="A12" s="6"/>
      <c r="B12" s="9"/>
      <c r="C12" s="8"/>
      <c r="D12" s="8"/>
      <c r="E12" s="8"/>
      <c r="F12" s="8"/>
      <c r="G12" s="8"/>
      <c r="J12">
        <v>221940.42</v>
      </c>
      <c r="L12" s="19" t="s">
        <v>57</v>
      </c>
      <c r="M12" s="20">
        <f>M10-221940.42-14301515.16</f>
        <v>63848895.969999999</v>
      </c>
    </row>
    <row r="13" spans="1:16" hidden="1">
      <c r="A13" s="6" t="s">
        <v>42</v>
      </c>
      <c r="B13" s="10"/>
      <c r="C13" s="8"/>
      <c r="D13" s="10"/>
      <c r="E13" s="11">
        <f>E11/D11</f>
        <v>7.9463151561157241E-2</v>
      </c>
      <c r="G13" s="8"/>
      <c r="M13" s="12"/>
    </row>
    <row r="14" spans="1:16" hidden="1">
      <c r="A14" s="6"/>
      <c r="B14" s="8"/>
      <c r="C14" s="8"/>
      <c r="D14" s="11">
        <f>1-E14</f>
        <v>0.92638641583435721</v>
      </c>
      <c r="E14" s="11">
        <f>E11/F11</f>
        <v>7.3613584165642773E-2</v>
      </c>
      <c r="F14" s="6"/>
      <c r="G14" s="6"/>
      <c r="J14">
        <v>25000000</v>
      </c>
      <c r="L14" s="12"/>
      <c r="M14" s="12"/>
    </row>
    <row r="15" spans="1:16" hidden="1">
      <c r="A15" s="6" t="s">
        <v>35</v>
      </c>
      <c r="B15" s="8"/>
      <c r="C15" s="8"/>
      <c r="D15" s="8"/>
      <c r="E15" s="8"/>
      <c r="F15" s="8"/>
      <c r="G15" s="6"/>
      <c r="L15" s="12"/>
      <c r="M15" s="12"/>
      <c r="O15">
        <v>551789.87</v>
      </c>
    </row>
    <row r="16" spans="1:16" hidden="1">
      <c r="A16" s="6"/>
      <c r="B16" s="8"/>
      <c r="C16" s="8"/>
      <c r="D16" s="8">
        <f>D3+D5+D6</f>
        <v>54449097.285929352</v>
      </c>
      <c r="E16" s="8">
        <f>E3+E5+E6</f>
        <v>4326696.87</v>
      </c>
      <c r="F16" s="8"/>
      <c r="G16" s="6"/>
      <c r="O16">
        <v>62995600</v>
      </c>
    </row>
    <row r="17" spans="1:15" hidden="1">
      <c r="A17" s="6" t="s">
        <v>36</v>
      </c>
      <c r="B17" s="6"/>
      <c r="C17" s="8"/>
      <c r="D17" s="8">
        <f>D11-D16</f>
        <v>76817820.714070648</v>
      </c>
      <c r="E17" s="8">
        <f>E11-E16</f>
        <v>6104186.1299999999</v>
      </c>
      <c r="F17" s="8"/>
      <c r="G17" s="6"/>
      <c r="J17" s="15"/>
      <c r="L17">
        <v>82613350.049999997</v>
      </c>
      <c r="O17">
        <f>SUM(O15:O16)</f>
        <v>63547389.869999997</v>
      </c>
    </row>
    <row r="18" spans="1:15" hidden="1">
      <c r="D18" s="12"/>
      <c r="J18" s="15"/>
      <c r="O18" s="12">
        <f>M8-O17</f>
        <v>78150411.129999995</v>
      </c>
    </row>
    <row r="19" spans="1:15" hidden="1"/>
    <row r="20" spans="1:15" hidden="1"/>
    <row r="21" spans="1:15" hidden="1"/>
    <row r="22" spans="1:15" hidden="1">
      <c r="A22" t="s">
        <v>43</v>
      </c>
      <c r="B22" t="s">
        <v>44</v>
      </c>
      <c r="C22" t="s">
        <v>45</v>
      </c>
    </row>
    <row r="23" spans="1:15" hidden="1">
      <c r="F23" t="s">
        <v>17</v>
      </c>
      <c r="G23" t="s">
        <v>26</v>
      </c>
    </row>
    <row r="24" spans="1:15" ht="30" hidden="1">
      <c r="A24" s="6" t="s">
        <v>39</v>
      </c>
      <c r="B24" s="8">
        <v>24281.4</v>
      </c>
      <c r="C24" s="12">
        <f>B24*D34</f>
        <v>22309.909764140943</v>
      </c>
      <c r="G24" s="6"/>
      <c r="H24" s="6" t="s">
        <v>27</v>
      </c>
      <c r="I24" s="16" t="s">
        <v>51</v>
      </c>
      <c r="J24" s="6" t="s">
        <v>25</v>
      </c>
      <c r="K24" s="6" t="s">
        <v>29</v>
      </c>
      <c r="L24" s="6" t="s">
        <v>30</v>
      </c>
      <c r="M24" s="16" t="s">
        <v>58</v>
      </c>
      <c r="N24" s="14"/>
    </row>
    <row r="25" spans="1:15" hidden="1">
      <c r="A25" s="6" t="s">
        <v>40</v>
      </c>
      <c r="B25" s="8">
        <v>19927.28</v>
      </c>
      <c r="C25" s="12">
        <f>B25*D34</f>
        <v>18309.315716753172</v>
      </c>
      <c r="G25" s="6" t="s">
        <v>39</v>
      </c>
      <c r="H25" s="7"/>
      <c r="I25" s="8">
        <f>L25*J37</f>
        <v>305568.049750434</v>
      </c>
      <c r="J25" s="8">
        <f>K25/K36</f>
        <v>305568.04975043406</v>
      </c>
      <c r="K25" s="8">
        <f>L25*K37</f>
        <v>24281.400249565977</v>
      </c>
      <c r="L25" s="8">
        <v>329849.45</v>
      </c>
      <c r="M25" s="8">
        <f>I25+K25</f>
        <v>329849.44999999995</v>
      </c>
      <c r="N25" s="23"/>
    </row>
    <row r="26" spans="1:15" hidden="1">
      <c r="A26" s="6" t="s">
        <v>31</v>
      </c>
      <c r="B26" s="13">
        <v>44208.68</v>
      </c>
      <c r="C26" s="13">
        <f>B26*D34</f>
        <v>40619.225480894114</v>
      </c>
      <c r="E26" s="12">
        <v>44208.68</v>
      </c>
      <c r="G26" s="6" t="s">
        <v>40</v>
      </c>
      <c r="H26" s="8"/>
      <c r="I26" s="8">
        <f>L26*J37</f>
        <v>205602.5902125719</v>
      </c>
      <c r="J26" s="8">
        <f>K26/K36</f>
        <v>205602.59021257193</v>
      </c>
      <c r="K26" s="8">
        <f>L26*K37</f>
        <v>16337.829787428107</v>
      </c>
      <c r="L26" s="8">
        <v>221940.42</v>
      </c>
      <c r="M26" s="8">
        <f t="shared" ref="M26:M32" si="2">I26+K26</f>
        <v>221940.42</v>
      </c>
      <c r="N26" s="23"/>
    </row>
    <row r="27" spans="1:15" hidden="1">
      <c r="A27" s="6"/>
      <c r="B27" s="13"/>
      <c r="C27" s="13"/>
      <c r="E27" s="12">
        <v>4637331.9000000004</v>
      </c>
      <c r="G27" s="21" t="s">
        <v>31</v>
      </c>
      <c r="H27" s="22"/>
      <c r="I27" s="22">
        <f>L27*J37</f>
        <v>511170.6399630059</v>
      </c>
      <c r="J27" s="22">
        <f>K27/K36</f>
        <v>511170.63996300602</v>
      </c>
      <c r="K27" s="22">
        <f>L27*K37</f>
        <v>40619.230036994086</v>
      </c>
      <c r="L27" s="22">
        <v>551789.87</v>
      </c>
      <c r="M27" s="22">
        <f t="shared" si="2"/>
        <v>551789.87</v>
      </c>
      <c r="N27" s="23"/>
    </row>
    <row r="28" spans="1:15" hidden="1">
      <c r="A28" s="6" t="s">
        <v>37</v>
      </c>
      <c r="B28" s="12">
        <v>4581979.16</v>
      </c>
      <c r="C28" s="12">
        <f>B28*D34</f>
        <v>4209952.5398360193</v>
      </c>
      <c r="D28" s="12"/>
      <c r="E28" s="12">
        <v>1145818.75</v>
      </c>
      <c r="G28" s="6" t="s">
        <v>37</v>
      </c>
      <c r="H28" s="8"/>
      <c r="I28" s="8">
        <f>L28*J37</f>
        <v>57192946.614910215</v>
      </c>
      <c r="J28" s="8">
        <f>K28/K36</f>
        <v>57192946.614910223</v>
      </c>
      <c r="K28" s="8">
        <f>L28*K37</f>
        <v>4544731.7850897862</v>
      </c>
      <c r="L28" s="8">
        <v>61737678.399999999</v>
      </c>
      <c r="M28" s="8">
        <f t="shared" si="2"/>
        <v>61737678.399999999</v>
      </c>
      <c r="N28" s="23"/>
    </row>
    <row r="29" spans="1:15" hidden="1">
      <c r="A29" s="6" t="s">
        <v>38</v>
      </c>
      <c r="B29" s="12">
        <v>100633.73</v>
      </c>
      <c r="C29" s="12">
        <f>B29*D34</f>
        <v>92462.931936746783</v>
      </c>
      <c r="D29" s="12"/>
      <c r="E29" s="12">
        <f>SUM(E26:E28)</f>
        <v>5827359.3300000001</v>
      </c>
      <c r="G29" s="6" t="s">
        <v>38</v>
      </c>
      <c r="H29" s="8"/>
      <c r="I29" s="8">
        <f>L29*J37</f>
        <v>1165321.4824246201</v>
      </c>
      <c r="J29" s="8">
        <f>K29/K36</f>
        <v>1165321.4824246203</v>
      </c>
      <c r="K29" s="8">
        <f>L29*K37</f>
        <v>92600.117575380034</v>
      </c>
      <c r="L29" s="8">
        <v>1257921.6000000001</v>
      </c>
      <c r="M29" s="8">
        <f t="shared" si="2"/>
        <v>1257921.6000000001</v>
      </c>
      <c r="N29" s="23"/>
    </row>
    <row r="30" spans="1:15" hidden="1">
      <c r="A30" s="6" t="s">
        <v>41</v>
      </c>
      <c r="B30" s="13">
        <v>4682612.8899999997</v>
      </c>
      <c r="C30" s="13">
        <f>B30*D34</f>
        <v>4302415.4717727657</v>
      </c>
      <c r="D30">
        <v>4308798.97</v>
      </c>
      <c r="E30" s="12">
        <f>E29-C33</f>
        <v>-4603523.67</v>
      </c>
      <c r="G30" s="21" t="s">
        <v>49</v>
      </c>
      <c r="H30" s="22"/>
      <c r="I30" s="22">
        <f>L30*J37</f>
        <v>58358268.097334832</v>
      </c>
      <c r="J30" s="22">
        <f>K30/K36</f>
        <v>58358268.097334847</v>
      </c>
      <c r="K30" s="22">
        <f>L30*K37</f>
        <v>4637331.9026651662</v>
      </c>
      <c r="L30" s="22">
        <v>62995600</v>
      </c>
      <c r="M30" s="22">
        <f t="shared" si="2"/>
        <v>62995600</v>
      </c>
      <c r="N30" s="23"/>
    </row>
    <row r="31" spans="1:15" hidden="1">
      <c r="A31" s="6" t="s">
        <v>32</v>
      </c>
      <c r="B31" s="12">
        <v>5480002.75</v>
      </c>
      <c r="C31" s="12">
        <f>B31*D34</f>
        <v>5035062.5112120481</v>
      </c>
      <c r="D31">
        <v>4241125.1900000004</v>
      </c>
      <c r="E31" s="12"/>
      <c r="G31" s="6" t="s">
        <v>32</v>
      </c>
      <c r="H31" s="8"/>
      <c r="I31" s="8">
        <f>L31*J37</f>
        <v>59148749.892629035</v>
      </c>
      <c r="J31" s="8">
        <f>K31/K36</f>
        <v>59148749.892629042</v>
      </c>
      <c r="K31" s="8">
        <f>L31*K37</f>
        <v>4700146.0773709649</v>
      </c>
      <c r="L31" s="8">
        <v>63848895.969999999</v>
      </c>
      <c r="M31" s="8">
        <f t="shared" si="2"/>
        <v>63848895.969999999</v>
      </c>
      <c r="N31" s="23"/>
    </row>
    <row r="32" spans="1:15" hidden="1">
      <c r="A32" s="6" t="s">
        <v>33</v>
      </c>
      <c r="B32" s="12">
        <v>1145818.75</v>
      </c>
      <c r="C32" s="12">
        <f>B32*D34</f>
        <v>1052785.7915342925</v>
      </c>
      <c r="D32">
        <v>1840339.6</v>
      </c>
      <c r="E32" s="12"/>
      <c r="G32" s="6" t="s">
        <v>33</v>
      </c>
      <c r="H32" s="8"/>
      <c r="I32" s="8">
        <f>L32*J37</f>
        <v>13248729.370073125</v>
      </c>
      <c r="J32" s="8">
        <f>K32/K36</f>
        <v>13248729.370073125</v>
      </c>
      <c r="K32" s="8">
        <f>L32*K37</f>
        <v>1052785.7899268761</v>
      </c>
      <c r="L32" s="8">
        <v>14301515.16</v>
      </c>
      <c r="M32" s="8">
        <f t="shared" si="2"/>
        <v>14301515.16</v>
      </c>
      <c r="N32" s="23"/>
    </row>
    <row r="33" spans="1:14" hidden="1">
      <c r="A33" s="14" t="s">
        <v>34</v>
      </c>
      <c r="B33" s="12"/>
      <c r="C33" s="12">
        <f>C24+C25+C28+C29+C31+C32</f>
        <v>10430883</v>
      </c>
      <c r="E33" s="12"/>
      <c r="G33" s="6" t="s">
        <v>34</v>
      </c>
      <c r="H33" s="8"/>
      <c r="I33" s="8">
        <f>I25+I26+I28+I29+I31+I32</f>
        <v>131266918</v>
      </c>
      <c r="J33" s="8">
        <f>J25+J26+J30+J31+J32</f>
        <v>131266918.00000001</v>
      </c>
      <c r="K33" s="8">
        <f>K25+K26+K30+K31+K32</f>
        <v>10430883</v>
      </c>
      <c r="L33" s="8">
        <f>L25+L26+L30+L31+L32</f>
        <v>141697801</v>
      </c>
      <c r="M33" s="8">
        <f>M25+M26+M28+M29+M31+M32</f>
        <v>141697801</v>
      </c>
      <c r="N33" s="12"/>
    </row>
    <row r="34" spans="1:14" hidden="1">
      <c r="A34" s="14" t="s">
        <v>44</v>
      </c>
      <c r="B34" s="12">
        <f>B24+B25+B28+B29+B31+B32</f>
        <v>11352643.07</v>
      </c>
      <c r="C34" s="12">
        <v>10430883</v>
      </c>
      <c r="D34">
        <f>C34/B34</f>
        <v>0.91880656651350179</v>
      </c>
      <c r="E34" s="12"/>
      <c r="G34" s="6" t="s">
        <v>30</v>
      </c>
      <c r="H34" s="8"/>
      <c r="I34" s="8"/>
      <c r="J34" s="8">
        <v>131266918</v>
      </c>
      <c r="K34" s="8">
        <v>10430883</v>
      </c>
      <c r="L34" s="8">
        <f>J34+K34</f>
        <v>141697801</v>
      </c>
      <c r="M34" s="8"/>
    </row>
    <row r="35" spans="1:14" hidden="1">
      <c r="E35" s="12"/>
      <c r="G35" s="6"/>
      <c r="H35" s="9"/>
      <c r="I35" s="8"/>
      <c r="J35" s="8">
        <f>J25+J26+J28+J29+J31+J32</f>
        <v>131266918.00000001</v>
      </c>
      <c r="K35" s="8">
        <f>K25+K26+K28+K29+K31+K32</f>
        <v>10430883</v>
      </c>
      <c r="L35" s="8"/>
      <c r="M35" s="8"/>
    </row>
    <row r="36" spans="1:14" hidden="1">
      <c r="G36" s="6" t="s">
        <v>42</v>
      </c>
      <c r="H36" s="10"/>
      <c r="I36" s="8"/>
      <c r="J36" s="10"/>
      <c r="K36" s="11">
        <f>K34/J34</f>
        <v>7.9463151561157241E-2</v>
      </c>
      <c r="M36" s="8"/>
    </row>
    <row r="37" spans="1:14" hidden="1">
      <c r="G37" s="6"/>
      <c r="H37" s="8"/>
      <c r="I37" s="8"/>
      <c r="J37" s="11">
        <f>1-K37</f>
        <v>0.92638641583435721</v>
      </c>
      <c r="K37" s="11">
        <f>K34/L34</f>
        <v>7.3613584165642773E-2</v>
      </c>
      <c r="L37" s="6"/>
      <c r="M37" s="6"/>
    </row>
    <row r="38" spans="1:14" hidden="1">
      <c r="G38" s="6" t="s">
        <v>35</v>
      </c>
      <c r="H38" s="8"/>
      <c r="I38" s="8"/>
      <c r="J38" s="8"/>
      <c r="K38" s="8"/>
      <c r="L38" s="8"/>
      <c r="M38" s="6"/>
    </row>
    <row r="39" spans="1:14" hidden="1">
      <c r="G39" s="6"/>
      <c r="H39" s="8"/>
      <c r="I39" s="8"/>
      <c r="J39" s="8">
        <f>J25+J28+J29</f>
        <v>58663836.147085272</v>
      </c>
      <c r="K39" s="8">
        <f>K25+K28+K29</f>
        <v>4661613.3029147321</v>
      </c>
      <c r="L39" s="8"/>
      <c r="M39" s="6"/>
    </row>
    <row r="40" spans="1:14" hidden="1">
      <c r="G40" s="6" t="s">
        <v>36</v>
      </c>
      <c r="H40" s="6"/>
      <c r="I40" s="8"/>
      <c r="J40" s="8">
        <f>J34-J39</f>
        <v>72603081.852914721</v>
      </c>
      <c r="K40" s="8">
        <f>K34-K39</f>
        <v>5769269.6970852679</v>
      </c>
      <c r="L40" s="8"/>
      <c r="M40" s="6"/>
    </row>
    <row r="41" spans="1:14" hidden="1"/>
    <row r="42" spans="1:14" hidden="1"/>
    <row r="43" spans="1:14" hidden="1"/>
    <row r="44" spans="1:14" hidden="1"/>
    <row r="45" spans="1:14" hidden="1"/>
    <row r="46" spans="1:14" hidden="1">
      <c r="A46" s="6"/>
      <c r="B46" s="6" t="s">
        <v>27</v>
      </c>
      <c r="C46" s="6" t="s">
        <v>28</v>
      </c>
      <c r="D46" s="6" t="s">
        <v>25</v>
      </c>
      <c r="E46" s="6" t="s">
        <v>29</v>
      </c>
      <c r="F46" s="6" t="s">
        <v>30</v>
      </c>
      <c r="G46" s="6" t="s">
        <v>50</v>
      </c>
    </row>
    <row r="47" spans="1:14" hidden="1">
      <c r="A47" s="6" t="s">
        <v>39</v>
      </c>
      <c r="B47" s="7"/>
      <c r="C47" s="8"/>
      <c r="D47" s="8">
        <f>E47/E58</f>
        <v>305568.04660978366</v>
      </c>
      <c r="E47" s="8">
        <v>24281.4</v>
      </c>
      <c r="F47" s="8">
        <f>D47+E47</f>
        <v>329849.44660978368</v>
      </c>
      <c r="G47" s="8">
        <v>305568.05</v>
      </c>
    </row>
    <row r="48" spans="1:14" hidden="1">
      <c r="A48" s="6" t="s">
        <v>40</v>
      </c>
      <c r="B48" s="8"/>
      <c r="C48" s="8"/>
      <c r="D48" s="8">
        <f>E48/E58</f>
        <v>250773.84433542588</v>
      </c>
      <c r="E48" s="8">
        <v>19927.28</v>
      </c>
      <c r="F48" s="8">
        <f>D48+E48</f>
        <v>270701.12433542591</v>
      </c>
      <c r="G48" s="8">
        <v>250773.85</v>
      </c>
    </row>
    <row r="49" spans="1:15" hidden="1">
      <c r="A49" s="6" t="s">
        <v>31</v>
      </c>
      <c r="B49" s="8"/>
      <c r="C49" s="8"/>
      <c r="D49" s="8">
        <f>E49/E58</f>
        <v>556341.89094520954</v>
      </c>
      <c r="E49" s="8">
        <v>44208.68</v>
      </c>
      <c r="F49" s="8">
        <f>D49+E49</f>
        <v>600550.57094520959</v>
      </c>
      <c r="G49" s="8"/>
    </row>
    <row r="50" spans="1:15" hidden="1">
      <c r="A50" s="6" t="s">
        <v>37</v>
      </c>
      <c r="B50" s="8"/>
      <c r="C50" s="8"/>
      <c r="D50" s="8">
        <f>E50/E58</f>
        <v>57192946.676702559</v>
      </c>
      <c r="E50" s="8">
        <v>4544731.79</v>
      </c>
      <c r="F50" s="8">
        <f t="shared" ref="F50:F54" si="3">D50+E50</f>
        <v>61737678.466702558</v>
      </c>
      <c r="G50" s="8"/>
    </row>
    <row r="51" spans="1:15" hidden="1">
      <c r="A51" s="6" t="s">
        <v>38</v>
      </c>
      <c r="B51" s="8"/>
      <c r="C51" s="8"/>
      <c r="D51" s="8">
        <f>E51/E58</f>
        <v>1165321.5129371271</v>
      </c>
      <c r="E51" s="8">
        <v>92600.12</v>
      </c>
      <c r="F51" s="8">
        <f t="shared" si="3"/>
        <v>1257921.6329371273</v>
      </c>
      <c r="G51" s="8"/>
    </row>
    <row r="52" spans="1:15" hidden="1">
      <c r="A52" s="6" t="s">
        <v>49</v>
      </c>
      <c r="B52" s="8"/>
      <c r="C52" s="8"/>
      <c r="D52" s="8">
        <f>E52/E58</f>
        <v>58358268.063795201</v>
      </c>
      <c r="E52" s="8">
        <v>4637331.9000000004</v>
      </c>
      <c r="F52" s="8">
        <f t="shared" si="3"/>
        <v>62995599.9637952</v>
      </c>
      <c r="G52" s="8">
        <v>58532661.079999998</v>
      </c>
    </row>
    <row r="53" spans="1:15" hidden="1">
      <c r="A53" s="6" t="s">
        <v>32</v>
      </c>
      <c r="B53" s="8"/>
      <c r="C53" s="8"/>
      <c r="D53" s="8">
        <f>E53/E58</f>
        <v>57932810.108305223</v>
      </c>
      <c r="E53" s="8">
        <v>4603523.67</v>
      </c>
      <c r="F53" s="8">
        <f t="shared" si="3"/>
        <v>62536333.778305225</v>
      </c>
      <c r="G53" s="8">
        <v>57608798.020000003</v>
      </c>
    </row>
    <row r="54" spans="1:15" hidden="1">
      <c r="A54" s="6" t="s">
        <v>33</v>
      </c>
      <c r="B54" s="8"/>
      <c r="C54" s="8"/>
      <c r="D54" s="8">
        <f>E54/E58</f>
        <v>14419497.936954379</v>
      </c>
      <c r="E54" s="8">
        <v>1145818.75</v>
      </c>
      <c r="F54" s="8">
        <f t="shared" si="3"/>
        <v>15565316.686954379</v>
      </c>
      <c r="G54" s="8">
        <v>25000000</v>
      </c>
    </row>
    <row r="55" spans="1:15" hidden="1">
      <c r="A55" s="6" t="s">
        <v>34</v>
      </c>
      <c r="B55" s="8"/>
      <c r="C55" s="8"/>
      <c r="D55" s="8">
        <f>D47+D48+D52+D53+D54</f>
        <v>131266918.00000001</v>
      </c>
      <c r="E55" s="8">
        <f>E47+E48+E52+E53+E54</f>
        <v>10430883</v>
      </c>
      <c r="F55" s="8">
        <f>F47+F48+F52+F53+F54</f>
        <v>141697801</v>
      </c>
      <c r="G55" s="8">
        <f>G47+G48+G52+G53+G54</f>
        <v>141697801</v>
      </c>
    </row>
    <row r="56" spans="1:15" hidden="1">
      <c r="A56" s="6" t="s">
        <v>30</v>
      </c>
      <c r="B56" s="8"/>
      <c r="C56" s="8"/>
      <c r="D56" s="8">
        <v>131266918</v>
      </c>
      <c r="E56" s="8">
        <v>10430883</v>
      </c>
      <c r="F56" s="8">
        <f>D56+E56</f>
        <v>141697801</v>
      </c>
      <c r="G56" s="8"/>
    </row>
    <row r="57" spans="1:15" hidden="1">
      <c r="A57" s="6"/>
      <c r="B57" s="9"/>
      <c r="C57" s="8"/>
      <c r="D57" s="8"/>
      <c r="E57" s="8"/>
      <c r="F57" s="8"/>
      <c r="G57" s="8"/>
    </row>
    <row r="58" spans="1:15" hidden="1">
      <c r="A58" s="6" t="s">
        <v>42</v>
      </c>
      <c r="B58" s="10"/>
      <c r="C58" s="8"/>
      <c r="D58" s="10"/>
      <c r="E58" s="10">
        <f>E56/D56</f>
        <v>7.9463151561157241E-2</v>
      </c>
      <c r="G58" s="8"/>
    </row>
    <row r="59" spans="1:15" hidden="1">
      <c r="A59" s="6"/>
      <c r="B59" s="8"/>
      <c r="C59" s="8"/>
      <c r="D59" s="11">
        <f>1-E59</f>
        <v>0.92638641583435721</v>
      </c>
      <c r="E59" s="11">
        <f>E56/F56</f>
        <v>7.3613584165642773E-2</v>
      </c>
      <c r="F59" s="6"/>
      <c r="G59" s="6"/>
    </row>
    <row r="60" spans="1:15" hidden="1">
      <c r="A60" s="6" t="s">
        <v>35</v>
      </c>
      <c r="B60" s="8"/>
      <c r="C60" s="8"/>
      <c r="D60" s="8"/>
      <c r="E60" s="8"/>
      <c r="F60" s="8"/>
      <c r="G60" s="6"/>
    </row>
    <row r="61" spans="1:15" hidden="1">
      <c r="A61" s="6"/>
      <c r="B61" s="8"/>
      <c r="C61" s="8"/>
      <c r="D61" s="8">
        <f>D47+D50+D51</f>
        <v>58663836.236249469</v>
      </c>
      <c r="E61" s="8">
        <f>E47+E50+E51</f>
        <v>4661613.3100000005</v>
      </c>
      <c r="F61" s="8"/>
      <c r="G61" s="6"/>
    </row>
    <row r="62" spans="1:15" hidden="1">
      <c r="A62" s="6" t="s">
        <v>36</v>
      </c>
      <c r="B62" s="6"/>
      <c r="C62" s="8"/>
      <c r="D62" s="8">
        <f>D56-D61</f>
        <v>72603081.763750523</v>
      </c>
      <c r="E62" s="8">
        <f>E56-E61</f>
        <v>5769269.6899999995</v>
      </c>
      <c r="F62" s="8"/>
      <c r="G62" s="6"/>
    </row>
    <row r="63" spans="1:15">
      <c r="D63">
        <v>1</v>
      </c>
      <c r="I63" s="26"/>
      <c r="J63" s="26" t="s">
        <v>25</v>
      </c>
      <c r="K63" s="26" t="s">
        <v>28</v>
      </c>
      <c r="L63" s="26" t="s">
        <v>25</v>
      </c>
      <c r="M63" s="26" t="s">
        <v>29</v>
      </c>
      <c r="N63" s="26" t="s">
        <v>30</v>
      </c>
      <c r="O63" s="26" t="s">
        <v>43</v>
      </c>
    </row>
    <row r="64" spans="1:15" s="27" customFormat="1">
      <c r="A64" s="26"/>
      <c r="B64" s="26" t="s">
        <v>27</v>
      </c>
      <c r="C64" s="26" t="s">
        <v>28</v>
      </c>
      <c r="D64" s="26" t="s">
        <v>25</v>
      </c>
      <c r="E64" s="26" t="s">
        <v>29</v>
      </c>
      <c r="F64" s="26" t="s">
        <v>30</v>
      </c>
      <c r="G64" s="26" t="s">
        <v>50</v>
      </c>
      <c r="I64" s="31" t="s">
        <v>39</v>
      </c>
      <c r="J64" s="34">
        <f>N64*L78</f>
        <v>305568.049750434</v>
      </c>
      <c r="K64" s="33">
        <f>M64/L64</f>
        <v>7.9463151561157241E-2</v>
      </c>
      <c r="L64" s="34">
        <f>M64/M77</f>
        <v>305568.04975043406</v>
      </c>
      <c r="M64" s="34">
        <f>N64*M78</f>
        <v>24281.400249565977</v>
      </c>
      <c r="N64" s="34">
        <v>329849.45</v>
      </c>
      <c r="O64" s="34">
        <f>N64*M78</f>
        <v>24281.400249565977</v>
      </c>
    </row>
    <row r="65" spans="1:15" s="35" customFormat="1">
      <c r="A65" s="31" t="s">
        <v>39</v>
      </c>
      <c r="B65" s="32">
        <f>F65*D79</f>
        <v>305568.049750434</v>
      </c>
      <c r="C65" s="33">
        <f>E65/D65</f>
        <v>7.9463150679529498E-2</v>
      </c>
      <c r="D65" s="34">
        <v>305568.05</v>
      </c>
      <c r="E65" s="34">
        <v>24281.4</v>
      </c>
      <c r="F65" s="34">
        <f>D65+E65</f>
        <v>329849.45</v>
      </c>
      <c r="G65" s="34">
        <f>F65*E79</f>
        <v>24281.400249565977</v>
      </c>
      <c r="I65" s="31" t="s">
        <v>40</v>
      </c>
      <c r="J65" s="34">
        <f>N65*L78</f>
        <v>250773.84031914623</v>
      </c>
      <c r="K65" s="33">
        <f t="shared" ref="K65:K69" si="4">M65/L65</f>
        <v>7.9463151561157241E-2</v>
      </c>
      <c r="L65" s="34">
        <f>M65/M77</f>
        <v>250773.84031914626</v>
      </c>
      <c r="M65" s="34">
        <f>N65*M78</f>
        <v>19927.279680853764</v>
      </c>
      <c r="N65" s="34">
        <v>270701.12</v>
      </c>
      <c r="O65" s="34">
        <f>N65*M78</f>
        <v>19927.279680853764</v>
      </c>
    </row>
    <row r="66" spans="1:15" s="35" customFormat="1">
      <c r="A66" s="31" t="s">
        <v>40</v>
      </c>
      <c r="B66" s="34">
        <f>F66*D79</f>
        <v>250773.84031914623</v>
      </c>
      <c r="C66" s="33">
        <f t="shared" ref="C66:C74" si="5">E66/D66</f>
        <v>7.9463152934931322E-2</v>
      </c>
      <c r="D66" s="34">
        <v>250773.84</v>
      </c>
      <c r="E66" s="34">
        <v>19927.28</v>
      </c>
      <c r="F66" s="34">
        <f t="shared" ref="F66:F74" si="6">D66+E66</f>
        <v>270701.12</v>
      </c>
      <c r="G66" s="34">
        <f>F66*E79</f>
        <v>19927.279680853764</v>
      </c>
      <c r="I66" s="26" t="s">
        <v>31</v>
      </c>
      <c r="J66" s="29">
        <f>N66*L78</f>
        <v>556341.89006958017</v>
      </c>
      <c r="K66" s="28">
        <f t="shared" si="4"/>
        <v>7.9463151561157241E-2</v>
      </c>
      <c r="L66" s="29">
        <f>M66/M77</f>
        <v>556341.89006958029</v>
      </c>
      <c r="M66" s="29">
        <f>N66*M78</f>
        <v>44208.679930419741</v>
      </c>
      <c r="N66" s="29">
        <v>600550.56999999995</v>
      </c>
      <c r="O66" s="29"/>
    </row>
    <row r="67" spans="1:15" s="27" customFormat="1">
      <c r="A67" s="26" t="s">
        <v>31</v>
      </c>
      <c r="B67" s="29"/>
      <c r="C67" s="28">
        <f t="shared" si="5"/>
        <v>7.9463151571095514E-2</v>
      </c>
      <c r="D67" s="29">
        <v>556341.89</v>
      </c>
      <c r="E67" s="29">
        <f>F67*E79</f>
        <v>44208.679930419748</v>
      </c>
      <c r="F67" s="29">
        <f>SUM(F65:F66)</f>
        <v>600550.57000000007</v>
      </c>
      <c r="G67" s="29"/>
      <c r="I67" s="31" t="s">
        <v>37</v>
      </c>
      <c r="J67" s="34">
        <f>N67*L78</f>
        <v>64826370.681385323</v>
      </c>
      <c r="K67" s="33">
        <f t="shared" si="4"/>
        <v>7.9463151561157241E-2</v>
      </c>
      <c r="L67" s="34">
        <f>M67/M77</f>
        <v>64826370.681385331</v>
      </c>
      <c r="M67" s="34">
        <f>N67*M78</f>
        <v>5151307.7186146826</v>
      </c>
      <c r="N67" s="34">
        <v>69977678.400000006</v>
      </c>
      <c r="O67" s="34">
        <f>N67*M78</f>
        <v>5151307.7186146826</v>
      </c>
    </row>
    <row r="68" spans="1:15" s="35" customFormat="1">
      <c r="A68" s="31" t="s">
        <v>37</v>
      </c>
      <c r="B68" s="34">
        <f>F68*D79</f>
        <v>57192946.614910215</v>
      </c>
      <c r="C68" s="33">
        <f t="shared" si="5"/>
        <v>7.9463151465092335E-2</v>
      </c>
      <c r="D68" s="34">
        <v>57192946.619999997</v>
      </c>
      <c r="E68" s="34">
        <v>4544731.78</v>
      </c>
      <c r="F68" s="34">
        <f>F70-F69</f>
        <v>61737678.399999999</v>
      </c>
      <c r="G68" s="34">
        <f>F68*E79</f>
        <v>4544731.7850897862</v>
      </c>
      <c r="I68" s="31" t="s">
        <v>38</v>
      </c>
      <c r="J68" s="34">
        <f>N68*L78</f>
        <v>1350598.7655914915</v>
      </c>
      <c r="K68" s="33">
        <f t="shared" si="4"/>
        <v>7.9463151561157241E-2</v>
      </c>
      <c r="L68" s="34">
        <f>M68/M77</f>
        <v>1350598.7655914917</v>
      </c>
      <c r="M68" s="34">
        <f>N68*M78</f>
        <v>107322.83440850858</v>
      </c>
      <c r="N68" s="34">
        <v>1457921.6</v>
      </c>
      <c r="O68" s="34">
        <f>N68*M78</f>
        <v>107322.83440850858</v>
      </c>
    </row>
    <row r="69" spans="1:15" s="35" customFormat="1">
      <c r="A69" s="31" t="s">
        <v>38</v>
      </c>
      <c r="B69" s="34">
        <f>F69*D79</f>
        <v>1165321.4824246201</v>
      </c>
      <c r="C69" s="33">
        <f t="shared" si="5"/>
        <v>7.9463153807136547E-2</v>
      </c>
      <c r="D69" s="34">
        <v>1165321.48</v>
      </c>
      <c r="E69" s="34">
        <v>92600.12</v>
      </c>
      <c r="F69" s="34">
        <f t="shared" si="6"/>
        <v>1257921.6000000001</v>
      </c>
      <c r="G69" s="34">
        <f>F69*E79</f>
        <v>92600.117575380034</v>
      </c>
      <c r="I69" s="26" t="s">
        <v>49</v>
      </c>
      <c r="J69" s="29">
        <f>N69*L78</f>
        <v>66176969.446976811</v>
      </c>
      <c r="K69" s="28">
        <f t="shared" si="4"/>
        <v>7.9463151561157241E-2</v>
      </c>
      <c r="L69" s="29">
        <f>M69/M77</f>
        <v>66176969.446976818</v>
      </c>
      <c r="M69" s="29">
        <f>N69*M78</f>
        <v>5258630.5530231912</v>
      </c>
      <c r="N69" s="29">
        <v>71435600</v>
      </c>
      <c r="O69" s="29"/>
    </row>
    <row r="70" spans="1:15" s="27" customFormat="1">
      <c r="A70" s="26" t="s">
        <v>49</v>
      </c>
      <c r="B70" s="29"/>
      <c r="C70" s="28">
        <f t="shared" si="5"/>
        <v>7.9463151511859217E-2</v>
      </c>
      <c r="D70" s="29">
        <v>58358268.100000001</v>
      </c>
      <c r="E70" s="29">
        <v>4637331.9000000004</v>
      </c>
      <c r="F70" s="29">
        <f t="shared" si="6"/>
        <v>62995600</v>
      </c>
      <c r="G70" s="29"/>
      <c r="I70" s="31" t="s">
        <v>59</v>
      </c>
      <c r="J70" s="34">
        <f>N70*L78</f>
        <v>26954448.364374336</v>
      </c>
      <c r="K70" s="33">
        <f>M70/L70</f>
        <v>7.9463151561157241E-2</v>
      </c>
      <c r="L70" s="34">
        <f>M70/M77</f>
        <v>26954448.364374336</v>
      </c>
      <c r="M70" s="34">
        <f>N70*M78</f>
        <v>2141885.4156256649</v>
      </c>
      <c r="N70" s="34">
        <v>29096333.780000001</v>
      </c>
      <c r="O70" s="34"/>
    </row>
    <row r="71" spans="1:15" s="35" customFormat="1">
      <c r="A71" s="31" t="s">
        <v>59</v>
      </c>
      <c r="B71" s="34">
        <f>E71/E78</f>
        <v>44963400.288194247</v>
      </c>
      <c r="C71" s="33">
        <f>E71/D71</f>
        <v>7.9463151561157255E-2</v>
      </c>
      <c r="D71" s="34">
        <f>F71*D79</f>
        <v>44963400.288194239</v>
      </c>
      <c r="E71" s="34">
        <f>F71*E79</f>
        <v>3572933.4918057607</v>
      </c>
      <c r="F71" s="34">
        <v>48536333.780000001</v>
      </c>
      <c r="G71" s="34"/>
      <c r="I71" s="31" t="s">
        <v>60</v>
      </c>
      <c r="J71" s="34">
        <f>N71*L78</f>
        <v>23159660.395858929</v>
      </c>
      <c r="K71" s="33">
        <f>M71/L71</f>
        <v>7.9463151561157241E-2</v>
      </c>
      <c r="L71" s="34">
        <f>M71/M77</f>
        <v>23159660.395858932</v>
      </c>
      <c r="M71" s="34">
        <f>N71*M78</f>
        <v>1840339.6041410693</v>
      </c>
      <c r="N71" s="34">
        <v>25000000</v>
      </c>
      <c r="O71" s="34"/>
    </row>
    <row r="72" spans="1:15" s="35" customFormat="1">
      <c r="A72" s="31" t="s">
        <v>60</v>
      </c>
      <c r="B72" s="34">
        <f>E72/E78</f>
        <v>12969409.821681002</v>
      </c>
      <c r="C72" s="33">
        <f>E72/D72</f>
        <v>7.9463151561157255E-2</v>
      </c>
      <c r="D72" s="34">
        <f>F72*D79</f>
        <v>12969409.821681</v>
      </c>
      <c r="E72" s="34">
        <f>F72*E79</f>
        <v>1030590.1783189988</v>
      </c>
      <c r="F72" s="34">
        <v>14000000</v>
      </c>
      <c r="G72" s="34"/>
      <c r="I72" s="26" t="s">
        <v>32</v>
      </c>
      <c r="J72" s="29">
        <f>N72*L78</f>
        <v>50114108.760233276</v>
      </c>
      <c r="K72" s="28">
        <f t="shared" ref="K72:K73" si="7">M72/L72</f>
        <v>7.9463151561157241E-2</v>
      </c>
      <c r="L72" s="29">
        <f>M72/M77</f>
        <v>50114108.760233283</v>
      </c>
      <c r="M72" s="29">
        <f>N72*M78</f>
        <v>3982225.0197667349</v>
      </c>
      <c r="N72" s="29">
        <f>N75-N66-N69-N73</f>
        <v>54096333.780000009</v>
      </c>
      <c r="O72" s="29">
        <f>N72*M78</f>
        <v>3982225.0197667349</v>
      </c>
    </row>
    <row r="73" spans="1:15" s="27" customFormat="1">
      <c r="A73" s="26" t="s">
        <v>32</v>
      </c>
      <c r="B73" s="29">
        <f>F73*D79</f>
        <v>57932810.109875239</v>
      </c>
      <c r="C73" s="28">
        <f t="shared" si="5"/>
        <v>7.9463151558832615E-2</v>
      </c>
      <c r="D73" s="29">
        <v>57932810.109999999</v>
      </c>
      <c r="E73" s="29">
        <v>4603523.67</v>
      </c>
      <c r="F73" s="29">
        <f t="shared" si="6"/>
        <v>62536333.780000001</v>
      </c>
      <c r="G73" s="29">
        <f>F73*E79</f>
        <v>4603523.670124759</v>
      </c>
      <c r="I73" s="31" t="s">
        <v>33</v>
      </c>
      <c r="J73" s="34">
        <f>N73*L78</f>
        <v>14419497.902720345</v>
      </c>
      <c r="K73" s="33">
        <f t="shared" si="7"/>
        <v>7.9463151561157241E-2</v>
      </c>
      <c r="L73" s="34">
        <f>M73/M77</f>
        <v>14419497.902720347</v>
      </c>
      <c r="M73" s="34">
        <f>N73*M78</f>
        <v>1145818.7472796559</v>
      </c>
      <c r="N73" s="34">
        <v>15565316.65</v>
      </c>
      <c r="O73" s="34">
        <f>N73*M78</f>
        <v>1145818.7472796559</v>
      </c>
    </row>
    <row r="74" spans="1:15" s="35" customFormat="1">
      <c r="A74" s="31" t="s">
        <v>33</v>
      </c>
      <c r="B74" s="34">
        <f>F74*D79</f>
        <v>14419497.902720345</v>
      </c>
      <c r="C74" s="33">
        <f t="shared" si="5"/>
        <v>7.9463151764805895E-2</v>
      </c>
      <c r="D74" s="34">
        <v>14419497.9</v>
      </c>
      <c r="E74" s="34">
        <v>1145818.75</v>
      </c>
      <c r="F74" s="34">
        <f t="shared" si="6"/>
        <v>15565316.65</v>
      </c>
      <c r="G74" s="34">
        <f>F74*E79</f>
        <v>1145818.7472796559</v>
      </c>
      <c r="I74" s="26" t="s">
        <v>34</v>
      </c>
      <c r="J74" s="29">
        <f>J64+J65+J67+J68+J70+J71+J73</f>
        <v>131266918.00000001</v>
      </c>
      <c r="K74" s="29"/>
      <c r="L74" s="29">
        <f>L66+L69+L72+L73</f>
        <v>131266918.00000003</v>
      </c>
      <c r="M74" s="29">
        <f>M66+M69+M72+M73</f>
        <v>10430883</v>
      </c>
      <c r="N74" s="29">
        <f>N66+N69+N72+N73</f>
        <v>141697801</v>
      </c>
      <c r="O74" s="29">
        <f>SUM(O64:O73)</f>
        <v>10430883</v>
      </c>
    </row>
    <row r="75" spans="1:15" s="39" customFormat="1">
      <c r="A75" s="37" t="s">
        <v>34</v>
      </c>
      <c r="B75" s="38">
        <f>SUM(B65:B74)</f>
        <v>189199728.10987523</v>
      </c>
      <c r="C75" s="38"/>
      <c r="D75" s="38">
        <f>D65+D66+D68+D69+D73+D74</f>
        <v>131266918</v>
      </c>
      <c r="E75" s="38">
        <f>E65+E66+E68+E69+E73+E74</f>
        <v>10430883</v>
      </c>
      <c r="F75" s="38">
        <f>F65+F66+F70+F73+F74</f>
        <v>141697801</v>
      </c>
      <c r="G75" s="38">
        <f>SUM(G65:G74)</f>
        <v>10430883</v>
      </c>
      <c r="I75" s="37" t="s">
        <v>30</v>
      </c>
      <c r="J75" s="38"/>
      <c r="K75" s="38"/>
      <c r="L75" s="38">
        <v>131266918</v>
      </c>
      <c r="M75" s="38">
        <v>10430883</v>
      </c>
      <c r="N75" s="38">
        <f>L75+M75</f>
        <v>141697801</v>
      </c>
      <c r="O75" s="38"/>
    </row>
    <row r="76" spans="1:15" s="27" customFormat="1">
      <c r="A76" s="26" t="s">
        <v>30</v>
      </c>
      <c r="B76" s="29"/>
      <c r="C76" s="29"/>
      <c r="D76" s="29">
        <v>131266918</v>
      </c>
      <c r="E76" s="29">
        <v>10430883</v>
      </c>
      <c r="F76" s="29">
        <f>D76+E76</f>
        <v>141697801</v>
      </c>
      <c r="G76" s="29"/>
      <c r="I76" s="31"/>
      <c r="J76" s="36"/>
      <c r="K76" s="34"/>
      <c r="L76" s="34">
        <f>L64+L65+L67+L68+L70+L71+L73</f>
        <v>131266918.00000001</v>
      </c>
      <c r="M76" s="34">
        <f>M64+M65+M67+M68+M70+M71+M73</f>
        <v>10430883</v>
      </c>
      <c r="N76" s="34"/>
      <c r="O76" s="34"/>
    </row>
    <row r="77" spans="1:15" s="35" customFormat="1">
      <c r="A77" s="31"/>
      <c r="B77" s="36"/>
      <c r="C77" s="34"/>
      <c r="D77" s="34">
        <f>D65+D66+D68+D69+D71+D72+D74</f>
        <v>131266917.99987525</v>
      </c>
      <c r="E77" s="34">
        <f>E65+E66+E68+E69+E71+E72+E74</f>
        <v>10430883.00012476</v>
      </c>
      <c r="F77" s="34"/>
      <c r="G77" s="34"/>
      <c r="I77" s="26" t="s">
        <v>42</v>
      </c>
      <c r="J77" s="30"/>
      <c r="K77" s="29"/>
      <c r="L77" s="30"/>
      <c r="M77" s="28">
        <f>M75/L75</f>
        <v>7.9463151561157241E-2</v>
      </c>
      <c r="N77" s="27"/>
      <c r="O77" s="29"/>
    </row>
    <row r="78" spans="1:15" s="27" customFormat="1">
      <c r="A78" s="26" t="s">
        <v>42</v>
      </c>
      <c r="B78" s="30"/>
      <c r="C78" s="29"/>
      <c r="D78" s="30"/>
      <c r="E78" s="28">
        <f>E76/D76</f>
        <v>7.9463151561157241E-2</v>
      </c>
      <c r="G78" s="29"/>
      <c r="I78" s="26"/>
      <c r="J78" s="29"/>
      <c r="K78" s="29"/>
      <c r="L78" s="28">
        <f>1-M78</f>
        <v>0.92638641583435721</v>
      </c>
      <c r="M78" s="28">
        <f>M75/N75</f>
        <v>7.3613584165642773E-2</v>
      </c>
      <c r="N78" s="26"/>
      <c r="O78" s="26"/>
    </row>
    <row r="79" spans="1:15" s="27" customFormat="1">
      <c r="A79" s="26"/>
      <c r="B79" s="29"/>
      <c r="C79" s="29"/>
      <c r="D79" s="28">
        <f>1-E79</f>
        <v>0.92638641583435721</v>
      </c>
      <c r="E79" s="28">
        <f>E76/F76</f>
        <v>7.3613584165642773E-2</v>
      </c>
      <c r="F79" s="26"/>
      <c r="G79" s="26"/>
      <c r="I79" s="26"/>
      <c r="J79" s="29"/>
      <c r="K79" s="29"/>
      <c r="L79" s="29"/>
      <c r="M79" s="29"/>
      <c r="N79" s="29"/>
      <c r="O79" s="26"/>
    </row>
    <row r="80" spans="1:15" s="27" customFormat="1">
      <c r="A80" s="26" t="s">
        <v>35</v>
      </c>
      <c r="B80" s="29"/>
      <c r="C80" s="29"/>
      <c r="D80" s="29"/>
      <c r="E80" s="29"/>
      <c r="F80" s="29"/>
      <c r="G80" s="26"/>
      <c r="I80" s="26" t="s">
        <v>35</v>
      </c>
      <c r="J80" s="29"/>
      <c r="K80" s="29"/>
      <c r="L80" s="29">
        <f>L64+L67+L68</f>
        <v>66482537.496727258</v>
      </c>
      <c r="M80" s="29">
        <f>M64+M67+M68</f>
        <v>5282911.9532727571</v>
      </c>
      <c r="N80" s="29">
        <f>N64+N67+N68</f>
        <v>71765449.450000003</v>
      </c>
      <c r="O80" s="26"/>
    </row>
    <row r="81" spans="1:15" s="27" customFormat="1">
      <c r="A81" s="26"/>
      <c r="B81" s="29"/>
      <c r="C81" s="29"/>
      <c r="D81" s="29">
        <f>D65+D68+D69</f>
        <v>58663836.149999991</v>
      </c>
      <c r="E81" s="29">
        <f>E65+E68+E69</f>
        <v>4661613.3000000007</v>
      </c>
      <c r="F81" s="29"/>
      <c r="G81" s="26"/>
      <c r="I81" s="26" t="s">
        <v>36</v>
      </c>
      <c r="J81" s="26"/>
      <c r="K81" s="29"/>
      <c r="L81" s="29">
        <f>L65+L70+L71+L73</f>
        <v>64784380.503272757</v>
      </c>
      <c r="M81" s="29">
        <f>M65+M70+M71+M73</f>
        <v>5147971.0467272438</v>
      </c>
      <c r="N81" s="29">
        <f>N65+N70+N71+N73</f>
        <v>69932351.550000012</v>
      </c>
      <c r="O81" s="26"/>
    </row>
    <row r="82" spans="1:15" s="27" customFormat="1">
      <c r="A82" s="26" t="s">
        <v>36</v>
      </c>
      <c r="B82" s="26"/>
      <c r="C82" s="29"/>
      <c r="D82" s="29">
        <f>D76-D81</f>
        <v>72603081.850000009</v>
      </c>
      <c r="E82" s="29">
        <f>E76-E81</f>
        <v>5769269.6999999993</v>
      </c>
      <c r="F82" s="29"/>
      <c r="G82" s="26"/>
    </row>
    <row r="87" spans="1:15">
      <c r="B87">
        <v>4581979.16</v>
      </c>
      <c r="C87">
        <f>B87/0.07946315</f>
        <v>57661685.447908878</v>
      </c>
    </row>
    <row r="88" spans="1:15">
      <c r="B88">
        <v>4682612.8899999997</v>
      </c>
      <c r="C88">
        <f>B88/0.07946315</f>
        <v>58928105.543261245</v>
      </c>
    </row>
    <row r="90" spans="1:15" ht="15.75" thickBot="1"/>
    <row r="91" spans="1:15">
      <c r="A91" s="45"/>
      <c r="B91" s="46"/>
      <c r="C91" s="46"/>
      <c r="D91" s="46"/>
      <c r="E91" s="46"/>
      <c r="F91" s="46"/>
      <c r="G91" s="46"/>
      <c r="H91" s="46"/>
      <c r="I91" s="46"/>
      <c r="J91" s="47"/>
    </row>
    <row r="92" spans="1:15">
      <c r="A92" s="48"/>
      <c r="B92" s="49"/>
      <c r="C92" s="49"/>
      <c r="D92" s="49">
        <v>3</v>
      </c>
      <c r="E92" s="49"/>
      <c r="F92" s="49"/>
      <c r="G92" s="49"/>
      <c r="H92" s="49"/>
      <c r="I92" s="49"/>
      <c r="J92" s="50"/>
    </row>
    <row r="93" spans="1:15">
      <c r="A93" s="48"/>
      <c r="B93" s="26"/>
      <c r="C93" s="26" t="s">
        <v>25</v>
      </c>
      <c r="D93" s="26" t="s">
        <v>28</v>
      </c>
      <c r="E93" s="26" t="s">
        <v>25</v>
      </c>
      <c r="F93" s="26" t="s">
        <v>29</v>
      </c>
      <c r="G93" s="26" t="s">
        <v>30</v>
      </c>
      <c r="H93" s="49"/>
      <c r="I93" s="49"/>
      <c r="J93" s="50"/>
    </row>
    <row r="94" spans="1:15">
      <c r="A94" s="48"/>
      <c r="B94" s="31" t="s">
        <v>39</v>
      </c>
      <c r="C94" s="34">
        <f>G94*E108</f>
        <v>305568.049750434</v>
      </c>
      <c r="D94" s="33">
        <f>F94/E94</f>
        <v>7.9463151561157241E-2</v>
      </c>
      <c r="E94" s="34">
        <f>F94/F107</f>
        <v>305568.04975043406</v>
      </c>
      <c r="F94" s="34">
        <f>G94*F108</f>
        <v>24281.400249565977</v>
      </c>
      <c r="G94" s="34">
        <v>329849.45</v>
      </c>
      <c r="H94" s="49"/>
      <c r="I94" s="49"/>
      <c r="J94" s="50"/>
    </row>
    <row r="95" spans="1:15">
      <c r="A95" s="48"/>
      <c r="B95" s="31" t="s">
        <v>40</v>
      </c>
      <c r="C95" s="34">
        <f>G95*E108</f>
        <v>250773.84031914623</v>
      </c>
      <c r="D95" s="33">
        <f t="shared" ref="D95:D99" si="8">F95/E95</f>
        <v>7.9463151561157241E-2</v>
      </c>
      <c r="E95" s="34">
        <f>F95/F107</f>
        <v>250773.84031914626</v>
      </c>
      <c r="F95" s="34">
        <f>G95*F108</f>
        <v>19927.279680853764</v>
      </c>
      <c r="G95" s="34">
        <v>270701.12</v>
      </c>
      <c r="H95" s="49"/>
      <c r="I95" s="49"/>
      <c r="J95" s="50"/>
    </row>
    <row r="96" spans="1:15">
      <c r="A96" s="48"/>
      <c r="B96" s="26" t="s">
        <v>31</v>
      </c>
      <c r="C96" s="29">
        <f>G96*E108</f>
        <v>556341.89006958017</v>
      </c>
      <c r="D96" s="28">
        <f t="shared" si="8"/>
        <v>7.9463151561157241E-2</v>
      </c>
      <c r="E96" s="29">
        <f>F96/F107</f>
        <v>556341.89006958029</v>
      </c>
      <c r="F96" s="29">
        <f>G96*F108</f>
        <v>44208.679930419741</v>
      </c>
      <c r="G96" s="29">
        <v>600550.56999999995</v>
      </c>
      <c r="H96" s="49"/>
      <c r="I96" s="49"/>
      <c r="J96" s="50"/>
    </row>
    <row r="97" spans="1:10">
      <c r="A97" s="48"/>
      <c r="B97" s="31" t="s">
        <v>37</v>
      </c>
      <c r="C97" s="34">
        <f>G97*E108</f>
        <v>64520802.631634884</v>
      </c>
      <c r="D97" s="33">
        <f t="shared" si="8"/>
        <v>7.9463151561157241E-2</v>
      </c>
      <c r="E97" s="34">
        <f>F97/F107</f>
        <v>64520802.631634891</v>
      </c>
      <c r="F97" s="34">
        <f>G97*F108</f>
        <v>5127026.3183651166</v>
      </c>
      <c r="G97" s="34">
        <v>69647828.950000003</v>
      </c>
      <c r="H97" s="49">
        <v>329849.45</v>
      </c>
      <c r="I97" s="51">
        <f>G97+H97</f>
        <v>69977678.400000006</v>
      </c>
      <c r="J97" s="50"/>
    </row>
    <row r="98" spans="1:10">
      <c r="A98" s="48"/>
      <c r="B98" s="31" t="s">
        <v>38</v>
      </c>
      <c r="C98" s="34">
        <f>G98*E108</f>
        <v>1350598.7655914915</v>
      </c>
      <c r="D98" s="33">
        <f t="shared" si="8"/>
        <v>7.9463151561157241E-2</v>
      </c>
      <c r="E98" s="34">
        <f>F98/F107</f>
        <v>1350598.7655914917</v>
      </c>
      <c r="F98" s="34">
        <f>G98*F108</f>
        <v>107322.83440850858</v>
      </c>
      <c r="G98" s="34">
        <v>1457921.6</v>
      </c>
      <c r="H98" s="49"/>
      <c r="I98" s="49">
        <v>1457921.6</v>
      </c>
      <c r="J98" s="50"/>
    </row>
    <row r="99" spans="1:10">
      <c r="A99" s="48"/>
      <c r="B99" s="26" t="s">
        <v>49</v>
      </c>
      <c r="C99" s="29">
        <f>G99*E108</f>
        <v>65871401.397226371</v>
      </c>
      <c r="D99" s="28">
        <f t="shared" si="8"/>
        <v>7.9463151561157241E-2</v>
      </c>
      <c r="E99" s="29">
        <f>F99/F107</f>
        <v>65871401.397226378</v>
      </c>
      <c r="F99" s="29">
        <f>G99*F108</f>
        <v>5234349.1527736243</v>
      </c>
      <c r="G99" s="29">
        <v>71105750.549999997</v>
      </c>
      <c r="H99" s="49"/>
      <c r="I99" s="49"/>
      <c r="J99" s="50"/>
    </row>
    <row r="100" spans="1:10">
      <c r="A100" s="48"/>
      <c r="B100" s="31" t="s">
        <v>59</v>
      </c>
      <c r="C100" s="34">
        <f>G100*E108</f>
        <v>41781007.730345659</v>
      </c>
      <c r="D100" s="33">
        <f>F100/E100</f>
        <v>7.9463151561157241E-2</v>
      </c>
      <c r="E100" s="34">
        <f>F100/F107</f>
        <v>41781007.730345666</v>
      </c>
      <c r="F100" s="34">
        <f>G100*F108</f>
        <v>3320050.5496543399</v>
      </c>
      <c r="G100" s="34">
        <v>45101058.280000001</v>
      </c>
      <c r="H100" s="49">
        <v>132994.72</v>
      </c>
      <c r="I100" s="51">
        <f>G100+H100</f>
        <v>45234053</v>
      </c>
      <c r="J100" s="50"/>
    </row>
    <row r="101" spans="1:10">
      <c r="A101" s="48"/>
      <c r="B101" s="31" t="s">
        <v>60</v>
      </c>
      <c r="C101" s="34">
        <f>G101*E108</f>
        <v>23058166.982358385</v>
      </c>
      <c r="D101" s="33">
        <f>F101/E101</f>
        <v>7.9463151561157241E-2</v>
      </c>
      <c r="E101" s="34">
        <f>F101/F107</f>
        <v>23058166.982358389</v>
      </c>
      <c r="F101" s="34">
        <f>G101*F108</f>
        <v>1832274.6176416164</v>
      </c>
      <c r="G101" s="34">
        <v>24890441.600000001</v>
      </c>
      <c r="H101" s="49">
        <v>109558.39999999999</v>
      </c>
      <c r="I101" s="51">
        <f>G101+H101</f>
        <v>25000000</v>
      </c>
      <c r="J101" s="50"/>
    </row>
    <row r="102" spans="1:10">
      <c r="A102" s="48"/>
      <c r="B102" s="26" t="s">
        <v>32</v>
      </c>
      <c r="C102" s="29">
        <f>G102*E108</f>
        <v>64839174.712704055</v>
      </c>
      <c r="D102" s="28">
        <f t="shared" ref="D102" si="9">F102/E102</f>
        <v>7.9463151561157241E-2</v>
      </c>
      <c r="E102" s="29">
        <f>F102/F107</f>
        <v>64839174.712704062</v>
      </c>
      <c r="F102" s="29">
        <f>G102*F108</f>
        <v>5152325.167295957</v>
      </c>
      <c r="G102" s="29">
        <f>G105-G96-G99-G103</f>
        <v>69991499.88000001</v>
      </c>
      <c r="H102" s="49">
        <f>H100+H101</f>
        <v>242553.12</v>
      </c>
      <c r="I102" s="51">
        <f>G102+H102</f>
        <v>70234053.000000015</v>
      </c>
      <c r="J102" s="50"/>
    </row>
    <row r="103" spans="1:10">
      <c r="A103" s="48"/>
      <c r="B103" s="31" t="s">
        <v>33</v>
      </c>
      <c r="C103" s="34"/>
      <c r="D103" s="33"/>
      <c r="E103" s="34"/>
      <c r="F103" s="34"/>
      <c r="G103" s="34"/>
      <c r="H103" s="49">
        <v>28148</v>
      </c>
      <c r="I103" s="51">
        <f>G103+H103</f>
        <v>28148</v>
      </c>
      <c r="J103" s="50"/>
    </row>
    <row r="104" spans="1:10">
      <c r="A104" s="48"/>
      <c r="B104" s="26" t="s">
        <v>34</v>
      </c>
      <c r="C104" s="29">
        <f>C94+C95+C97+C98+C100+C101+C103</f>
        <v>131266918</v>
      </c>
      <c r="D104" s="29"/>
      <c r="E104" s="29">
        <f>E96+E99+E102+E103</f>
        <v>131266918.00000003</v>
      </c>
      <c r="F104" s="29">
        <f>F96+F99+F102+F103</f>
        <v>10430883</v>
      </c>
      <c r="G104" s="29">
        <f>G96+G99+G102+G103</f>
        <v>141697801</v>
      </c>
      <c r="H104" s="49">
        <f>H100+H101+H103</f>
        <v>270701.12</v>
      </c>
      <c r="I104" s="51">
        <f>I100+I101+I103</f>
        <v>70262201</v>
      </c>
      <c r="J104" s="50"/>
    </row>
    <row r="105" spans="1:10">
      <c r="A105" s="48"/>
      <c r="B105" s="37" t="s">
        <v>30</v>
      </c>
      <c r="C105" s="38"/>
      <c r="D105" s="38"/>
      <c r="E105" s="38">
        <v>131266918</v>
      </c>
      <c r="F105" s="38">
        <v>10430883</v>
      </c>
      <c r="G105" s="38">
        <f>E105+F105</f>
        <v>141697801</v>
      </c>
      <c r="H105" s="49">
        <f>H97+H104</f>
        <v>600550.57000000007</v>
      </c>
      <c r="I105" s="51">
        <f>I97+I98+I104</f>
        <v>141697801</v>
      </c>
      <c r="J105" s="50"/>
    </row>
    <row r="106" spans="1:10">
      <c r="A106" s="48"/>
      <c r="B106" s="31"/>
      <c r="C106" s="36"/>
      <c r="D106" s="34"/>
      <c r="E106" s="34">
        <f>E94+E95+E97+E98+E100+E101+E103</f>
        <v>131266918.00000003</v>
      </c>
      <c r="F106" s="34">
        <f>F94+F95+F97+F98+F100+F101+F103</f>
        <v>10430883.000000002</v>
      </c>
      <c r="G106" s="34"/>
      <c r="H106" s="49"/>
      <c r="I106" s="49"/>
      <c r="J106" s="50"/>
    </row>
    <row r="107" spans="1:10">
      <c r="A107" s="48"/>
      <c r="B107" s="26" t="s">
        <v>42</v>
      </c>
      <c r="C107" s="30"/>
      <c r="D107" s="29"/>
      <c r="E107" s="30"/>
      <c r="F107" s="28">
        <f>F105/E105</f>
        <v>7.9463151561157241E-2</v>
      </c>
      <c r="G107" s="52"/>
      <c r="H107" s="49"/>
      <c r="I107" s="49"/>
      <c r="J107" s="50"/>
    </row>
    <row r="108" spans="1:10">
      <c r="A108" s="48"/>
      <c r="B108" s="26"/>
      <c r="C108" s="29"/>
      <c r="D108" s="29"/>
      <c r="E108" s="28">
        <f>1-F108</f>
        <v>0.92638641583435721</v>
      </c>
      <c r="F108" s="28">
        <f>F105/G105</f>
        <v>7.3613584165642773E-2</v>
      </c>
      <c r="G108" s="26"/>
      <c r="H108" s="49"/>
      <c r="I108" s="49"/>
      <c r="J108" s="50"/>
    </row>
    <row r="109" spans="1:10">
      <c r="A109" s="48"/>
      <c r="B109" s="26"/>
      <c r="C109" s="29"/>
      <c r="D109" s="29"/>
      <c r="E109" s="29"/>
      <c r="F109" s="29"/>
      <c r="G109" s="29"/>
      <c r="H109" s="49"/>
      <c r="I109" s="49"/>
      <c r="J109" s="50"/>
    </row>
    <row r="110" spans="1:10">
      <c r="A110" s="48"/>
      <c r="B110" s="26" t="s">
        <v>35</v>
      </c>
      <c r="C110" s="29"/>
      <c r="D110" s="29"/>
      <c r="E110" s="29">
        <f>E94+E97+E98</f>
        <v>66176969.446976818</v>
      </c>
      <c r="F110" s="29">
        <f>F94+F97+F98</f>
        <v>5258630.5530231912</v>
      </c>
      <c r="G110" s="29">
        <f>G94+G97+G98</f>
        <v>71435600</v>
      </c>
      <c r="H110" s="49"/>
      <c r="I110" s="49"/>
      <c r="J110" s="50"/>
    </row>
    <row r="111" spans="1:10">
      <c r="A111" s="48"/>
      <c r="B111" s="26" t="s">
        <v>36</v>
      </c>
      <c r="C111" s="26"/>
      <c r="D111" s="29"/>
      <c r="E111" s="29">
        <f>E95+E100+E101+E103</f>
        <v>65089948.553023204</v>
      </c>
      <c r="F111" s="29">
        <f>F95+F100+F101+F103</f>
        <v>5172252.4469768098</v>
      </c>
      <c r="G111" s="29">
        <f>G95+G100+G101+G103</f>
        <v>70262201</v>
      </c>
      <c r="H111" s="49"/>
      <c r="I111" s="49"/>
      <c r="J111" s="50"/>
    </row>
    <row r="112" spans="1:10">
      <c r="A112" s="48"/>
      <c r="B112" s="49"/>
      <c r="C112" s="49"/>
      <c r="D112" s="49"/>
      <c r="E112" s="49"/>
      <c r="F112" s="49"/>
      <c r="G112" s="51">
        <f>G105-G110</f>
        <v>70262201</v>
      </c>
      <c r="H112" s="49"/>
      <c r="I112" s="49"/>
      <c r="J112" s="50"/>
    </row>
    <row r="113" spans="1:10">
      <c r="A113" s="48"/>
      <c r="B113" s="49"/>
      <c r="C113" s="49"/>
      <c r="D113" s="49"/>
      <c r="E113" s="49"/>
      <c r="F113" s="49"/>
      <c r="G113" s="51">
        <f>G112-G95</f>
        <v>69991499.879999995</v>
      </c>
      <c r="H113" s="49"/>
      <c r="I113" s="49"/>
      <c r="J113" s="50"/>
    </row>
    <row r="114" spans="1:10">
      <c r="A114" s="48"/>
      <c r="B114" s="49"/>
      <c r="C114" s="49"/>
      <c r="D114" s="49"/>
      <c r="E114" s="49"/>
      <c r="F114" s="49"/>
      <c r="G114" s="49"/>
      <c r="H114" s="49"/>
      <c r="I114" s="49"/>
      <c r="J114" s="50"/>
    </row>
    <row r="115" spans="1:10">
      <c r="A115" s="48"/>
      <c r="B115" s="49"/>
      <c r="C115" s="49"/>
      <c r="D115" s="49"/>
      <c r="E115" s="49"/>
      <c r="F115" s="49"/>
      <c r="G115" s="49"/>
      <c r="H115" s="49"/>
      <c r="I115" s="49"/>
      <c r="J115" s="50"/>
    </row>
    <row r="116" spans="1:10">
      <c r="A116" s="48"/>
      <c r="B116" s="49"/>
      <c r="C116" s="49"/>
      <c r="D116" s="49"/>
      <c r="E116" s="49"/>
      <c r="F116" s="49"/>
      <c r="G116" s="49"/>
      <c r="H116" s="49"/>
      <c r="I116" s="49"/>
      <c r="J116" s="50"/>
    </row>
    <row r="117" spans="1:10">
      <c r="A117" s="48"/>
      <c r="B117" s="49"/>
      <c r="C117" s="49"/>
      <c r="D117" s="49"/>
      <c r="E117" s="49"/>
      <c r="F117" s="49"/>
      <c r="G117" s="49"/>
      <c r="H117" s="49"/>
      <c r="I117" s="49"/>
      <c r="J117" s="50"/>
    </row>
    <row r="118" spans="1:10">
      <c r="A118" s="48"/>
      <c r="B118" s="49"/>
      <c r="C118" s="49"/>
      <c r="D118" s="49"/>
      <c r="E118" s="49"/>
      <c r="F118" s="49"/>
      <c r="G118" s="49"/>
      <c r="H118" s="49"/>
      <c r="I118" s="49"/>
      <c r="J118" s="50"/>
    </row>
    <row r="119" spans="1:10" ht="15.75" thickBot="1">
      <c r="A119" s="53"/>
      <c r="B119" s="54"/>
      <c r="C119" s="54"/>
      <c r="D119" s="54"/>
      <c r="E119" s="54"/>
      <c r="F119" s="54"/>
      <c r="G119" s="54"/>
      <c r="H119" s="54"/>
      <c r="I119" s="54"/>
      <c r="J119" s="55"/>
    </row>
  </sheetData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04.03.19 на 73 млн</vt:lpstr>
      <vt:lpstr>04.03.19 расчет на 73 млн</vt:lpstr>
      <vt:lpstr>Лист3</vt:lpstr>
      <vt:lpstr>'04.03.19 на 73 млн'!Область_печати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2020-02-19T16:03:43Z</dcterms:modified>
</cp:coreProperties>
</file>